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600" windowHeight="11445" activeTab="0"/>
  </bookViews>
  <sheets>
    <sheet name="Parade Recap" sheetId="1" r:id="rId1"/>
    <sheet name="Indoor" sheetId="2" r:id="rId2"/>
    <sheet name="Field Recap" sheetId="3" r:id="rId3"/>
    <sheet name="Awards" sheetId="4" r:id="rId4"/>
  </sheets>
  <definedNames>
    <definedName name="_xlnm.Print_Area" localSheetId="3">'Awards'!$A$1:$B$271</definedName>
    <definedName name="_xlnm.Print_Area" localSheetId="2">'Field Recap'!$A$1:$AD$34</definedName>
    <definedName name="_xlnm.Print_Area" localSheetId="1">'Indoor'!$A$1:$E$36</definedName>
    <definedName name="_xlnm.Print_Area" localSheetId="0">'Parade Recap'!$A$1:$O$26</definedName>
    <definedName name="_xlnm.Print_Titles" localSheetId="2">'Field Recap'!$1:$3</definedName>
  </definedNames>
  <calcPr fullCalcOnLoad="1"/>
</workbook>
</file>

<file path=xl/sharedStrings.xml><?xml version="1.0" encoding="utf-8"?>
<sst xmlns="http://schemas.openxmlformats.org/spreadsheetml/2006/main" count="195" uniqueCount="125">
  <si>
    <t>Music Effect</t>
  </si>
  <si>
    <t>Total</t>
  </si>
  <si>
    <t>Visual Effect</t>
  </si>
  <si>
    <t>Music Ensemble</t>
  </si>
  <si>
    <t>Comp</t>
  </si>
  <si>
    <t>Exc</t>
  </si>
  <si>
    <t>Visual Ensemble</t>
  </si>
  <si>
    <t>Percussion</t>
  </si>
  <si>
    <t>Rep</t>
  </si>
  <si>
    <t>Auxillary</t>
  </si>
  <si>
    <t>Per</t>
  </si>
  <si>
    <t>GE</t>
  </si>
  <si>
    <t>TOTAL</t>
  </si>
  <si>
    <t>Music Individual</t>
  </si>
  <si>
    <t>Visual Individual</t>
  </si>
  <si>
    <t>Tech</t>
  </si>
  <si>
    <t>Mus</t>
  </si>
  <si>
    <t>Music</t>
  </si>
  <si>
    <t>Visual</t>
  </si>
  <si>
    <t>RANK</t>
  </si>
  <si>
    <t>Auxiliary</t>
  </si>
  <si>
    <t>Cont</t>
  </si>
  <si>
    <t>Total Score Calculated as follows:</t>
  </si>
  <si>
    <t>The sum of:</t>
  </si>
  <si>
    <t>20 points Music Effect</t>
  </si>
  <si>
    <t>20 points Visual Effect</t>
  </si>
  <si>
    <t>20 points Ensemble Music</t>
  </si>
  <si>
    <t>The average of:</t>
  </si>
  <si>
    <t>20 points Field Music</t>
  </si>
  <si>
    <t>20 points Percussion</t>
  </si>
  <si>
    <t>20 points Ensemble Visual</t>
  </si>
  <si>
    <t>20 points Field Visual</t>
  </si>
  <si>
    <t>20 points Auxiliary</t>
  </si>
  <si>
    <t>M. Schleihs</t>
  </si>
  <si>
    <t>S. Johnson</t>
  </si>
  <si>
    <t>Trenton</t>
  </si>
  <si>
    <t>Sherwood</t>
  </si>
  <si>
    <t>WHITE Class</t>
  </si>
  <si>
    <t>RED Class</t>
  </si>
  <si>
    <t>Pleasant Hill</t>
  </si>
  <si>
    <t>Harrisonville</t>
  </si>
  <si>
    <t>SILVER Class</t>
  </si>
  <si>
    <t>Warrensburg</t>
  </si>
  <si>
    <t>BLACK Class</t>
  </si>
  <si>
    <t>Park Hill</t>
  </si>
  <si>
    <t>Raymore-Peculiar</t>
  </si>
  <si>
    <t>GOLD Class</t>
  </si>
  <si>
    <t>Parade 3</t>
  </si>
  <si>
    <t>Parade 2</t>
  </si>
  <si>
    <t>Parade 1</t>
  </si>
  <si>
    <t>G. Anders</t>
  </si>
  <si>
    <t>Mar</t>
  </si>
  <si>
    <t>Lone Jack</t>
  </si>
  <si>
    <t>Hornline</t>
  </si>
  <si>
    <t>Drum Major</t>
  </si>
  <si>
    <t>Champion Captions</t>
  </si>
  <si>
    <t>Perf</t>
  </si>
  <si>
    <t>Large Class</t>
  </si>
  <si>
    <t>Small Class</t>
  </si>
  <si>
    <t>T. Hall</t>
  </si>
  <si>
    <t>Indoor Percussion</t>
  </si>
  <si>
    <t>Indoor Auxiliary</t>
  </si>
  <si>
    <t>After the Drum Majors are ready:</t>
  </si>
  <si>
    <t>Let's have a big round of applause for all these teriffic groups this afternoon!</t>
  </si>
  <si>
    <t>This morning, in the Parade contest, we had 5 classes of competition</t>
  </si>
  <si>
    <t>(parade awards continued on next page)</t>
  </si>
  <si>
    <t>(Field awards continued on next page)</t>
  </si>
  <si>
    <t>Closing announcements</t>
  </si>
  <si>
    <t>Pit Crew</t>
  </si>
  <si>
    <t>We have some overall awards today, starting with the Outstanding Pit &amp; Parent Crew</t>
  </si>
  <si>
    <t>Our next overall award is for the Outstanding Percussion section</t>
  </si>
  <si>
    <t>Our next overall award is for the Outstanding Auxiliary</t>
  </si>
  <si>
    <t>(parade awards concluded)</t>
  </si>
  <si>
    <t>(percussion awards concluded)</t>
  </si>
  <si>
    <t>(auxiliary awards concluded)</t>
  </si>
  <si>
    <t>Our final overall award is for the Outstanding Wind Section.  This award is named after</t>
  </si>
  <si>
    <t>Our next overall award is for the Outstanding Drum Major.  This award is named after a former</t>
  </si>
  <si>
    <t>Odessa High School and Marching Mizzou Drum Major.  Kris was an outstanding person</t>
  </si>
  <si>
    <t>and teacher in Odessa before passing away from Multiple Sclerosis.</t>
  </si>
  <si>
    <t>a former trumpet player in the Band of Distinction.  Paul had a great energy</t>
  </si>
  <si>
    <t>and put his heart into our band.  Paul tragically lost his life in June of 2001.</t>
  </si>
  <si>
    <t xml:space="preserve"> Lone Jack </t>
  </si>
  <si>
    <t xml:space="preserve"> Lafayette Co. </t>
  </si>
  <si>
    <t xml:space="preserve"> Trenton </t>
  </si>
  <si>
    <t xml:space="preserve"> Sherwood </t>
  </si>
  <si>
    <t xml:space="preserve"> Macon </t>
  </si>
  <si>
    <t xml:space="preserve"> Maryville </t>
  </si>
  <si>
    <t xml:space="preserve"> Oak Grove </t>
  </si>
  <si>
    <t xml:space="preserve"> Pleasant Hill </t>
  </si>
  <si>
    <t xml:space="preserve"> Center </t>
  </si>
  <si>
    <t xml:space="preserve"> Fulton </t>
  </si>
  <si>
    <t xml:space="preserve"> Harrisonville </t>
  </si>
  <si>
    <t xml:space="preserve"> Hickman Mills </t>
  </si>
  <si>
    <t xml:space="preserve"> Fort Zumwalt East </t>
  </si>
  <si>
    <t xml:space="preserve"> Warrensburg </t>
  </si>
  <si>
    <t xml:space="preserve"> William Chrisman </t>
  </si>
  <si>
    <t xml:space="preserve"> Raymore-Peculiar </t>
  </si>
  <si>
    <t xml:space="preserve"> Park Hill </t>
  </si>
  <si>
    <t xml:space="preserve"> Rockbridge </t>
  </si>
  <si>
    <t>T. Reinhardt</t>
  </si>
  <si>
    <t>T. Allshouse</t>
  </si>
  <si>
    <t>Medium Class</t>
  </si>
  <si>
    <t xml:space="preserve"> Rock Bridge </t>
  </si>
  <si>
    <t>J. Harper</t>
  </si>
  <si>
    <t>K. Horneffer</t>
  </si>
  <si>
    <t>S. Huggins</t>
  </si>
  <si>
    <t>B. Johnson</t>
  </si>
  <si>
    <t>R. Groebe</t>
  </si>
  <si>
    <t>Lafayette County</t>
  </si>
  <si>
    <t>Macon</t>
  </si>
  <si>
    <t>Maryville</t>
  </si>
  <si>
    <t>Oak Grove</t>
  </si>
  <si>
    <t>Fulton</t>
  </si>
  <si>
    <t>Center</t>
  </si>
  <si>
    <t>Hickman Mills</t>
  </si>
  <si>
    <t>Fort Zumwalt East</t>
  </si>
  <si>
    <t>William Chrisman</t>
  </si>
  <si>
    <t>Rock Bridge</t>
  </si>
  <si>
    <t>This afternoon in the Indoor Percussion contest, we had 3 classes of competition</t>
  </si>
  <si>
    <t>This afternoon in the Indoor Auxiliary contest, we had 3 classes of competition</t>
  </si>
  <si>
    <t>This afternoon, in the Field competition, we had 5 classes of competing bands</t>
  </si>
  <si>
    <t>Handing out awards this afternoon are Band of Distinction Drum Majors Elizabeth Watson and</t>
  </si>
  <si>
    <t>Alyssa Cowman.</t>
  </si>
  <si>
    <t>Handing out the award today will be Kris' parents Gail and Gary Cooper.</t>
  </si>
  <si>
    <t>WARRENSBURG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</si>
</sst>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0.0"/>
    <numFmt numFmtId="169" formatCode="[$€-2]\ #,##0.00_);[Red]\([$€-2]\ #,##0.00\)"/>
    <numFmt numFmtId="170" formatCode="[$-409]h:mm:ss\ AM/PM"/>
    <numFmt numFmtId="171" formatCode="[$-409]h:mm\ AM/PM;@"/>
    <numFmt numFmtId="172" formatCode="[$-409]h:mm\ ;@"/>
    <numFmt numFmtId="173" formatCode="h:mm\ ;@"/>
    <numFmt numFmtId="174" formatCode="h:mm;@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2"/>
      <color indexed="8"/>
      <name val="Arial Unicode MS"/>
      <family val="2"/>
    </font>
    <font>
      <i/>
      <sz val="14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" fontId="4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indent="3"/>
    </xf>
    <xf numFmtId="168" fontId="0" fillId="0" borderId="23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3" fillId="0" borderId="22" xfId="0" applyFont="1" applyBorder="1" applyAlignment="1">
      <alignment horizontal="left"/>
    </xf>
    <xf numFmtId="0" fontId="0" fillId="0" borderId="27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indent="3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horizontal="center"/>
    </xf>
    <xf numFmtId="0" fontId="2" fillId="0" borderId="29" xfId="0" applyFont="1" applyBorder="1" applyAlignment="1" applyProtection="1">
      <alignment horizontal="left" indent="1"/>
      <protection locked="0"/>
    </xf>
    <xf numFmtId="1" fontId="3" fillId="0" borderId="30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  <protection locked="0"/>
    </xf>
    <xf numFmtId="1" fontId="4" fillId="0" borderId="31" xfId="0" applyNumberFormat="1" applyFont="1" applyFill="1" applyBorder="1" applyAlignment="1" applyProtection="1">
      <alignment horizontal="center"/>
      <protection/>
    </xf>
    <xf numFmtId="2" fontId="4" fillId="0" borderId="31" xfId="0" applyNumberFormat="1" applyFont="1" applyFill="1" applyBorder="1" applyAlignment="1" applyProtection="1">
      <alignment horizontal="center"/>
      <protection/>
    </xf>
    <xf numFmtId="1" fontId="4" fillId="0" borderId="32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 locked="0"/>
    </xf>
    <xf numFmtId="1" fontId="3" fillId="0" borderId="33" xfId="0" applyNumberFormat="1" applyFont="1" applyFill="1" applyBorder="1" applyAlignment="1" applyProtection="1">
      <alignment horizontal="center"/>
      <protection locked="0"/>
    </xf>
    <xf numFmtId="1" fontId="3" fillId="0" borderId="34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1" fontId="4" fillId="0" borderId="32" xfId="0" applyNumberFormat="1" applyFont="1" applyFill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left" wrapText="1"/>
    </xf>
    <xf numFmtId="1" fontId="3" fillId="0" borderId="36" xfId="0" applyNumberFormat="1" applyFont="1" applyFill="1" applyBorder="1" applyAlignment="1" applyProtection="1">
      <alignment horizontal="center"/>
      <protection locked="0"/>
    </xf>
    <xf numFmtId="1" fontId="3" fillId="0" borderId="37" xfId="0" applyNumberFormat="1" applyFont="1" applyFill="1" applyBorder="1" applyAlignment="1" applyProtection="1">
      <alignment horizontal="center"/>
      <protection locked="0"/>
    </xf>
    <xf numFmtId="1" fontId="3" fillId="0" borderId="35" xfId="0" applyNumberFormat="1" applyFon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 applyProtection="1">
      <alignment horizontal="center"/>
      <protection/>
    </xf>
    <xf numFmtId="2" fontId="4" fillId="0" borderId="37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8" fontId="0" fillId="0" borderId="23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2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38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 horizontal="left" indent="1"/>
      <protection locked="0"/>
    </xf>
    <xf numFmtId="0" fontId="11" fillId="0" borderId="25" xfId="0" applyFont="1" applyBorder="1" applyAlignment="1" applyProtection="1">
      <alignment horizontal="left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 horizontal="left" indent="1"/>
      <protection locked="0"/>
    </xf>
    <xf numFmtId="0" fontId="0" fillId="0" borderId="0" xfId="0" applyFont="1" applyAlignment="1">
      <alignment/>
    </xf>
    <xf numFmtId="0" fontId="11" fillId="0" borderId="40" xfId="0" applyFont="1" applyBorder="1" applyAlignment="1" applyProtection="1">
      <alignment horizontal="left" vertical="center" indent="2"/>
      <protection locked="0"/>
    </xf>
    <xf numFmtId="0" fontId="11" fillId="0" borderId="25" xfId="0" applyFont="1" applyBorder="1" applyAlignment="1" applyProtection="1">
      <alignment horizontal="left" vertical="center" indent="2"/>
      <protection locked="0"/>
    </xf>
    <xf numFmtId="0" fontId="11" fillId="0" borderId="41" xfId="0" applyFont="1" applyBorder="1" applyAlignment="1" applyProtection="1">
      <alignment horizontal="left" vertical="center" indent="2"/>
      <protection locked="0"/>
    </xf>
    <xf numFmtId="0" fontId="11" fillId="0" borderId="29" xfId="0" applyFont="1" applyBorder="1" applyAlignment="1" applyProtection="1">
      <alignment horizontal="left" vertical="center" indent="2"/>
      <protection locked="0"/>
    </xf>
    <xf numFmtId="0" fontId="9" fillId="0" borderId="0" xfId="0" applyFont="1" applyAlignment="1">
      <alignment/>
    </xf>
    <xf numFmtId="0" fontId="11" fillId="0" borderId="40" xfId="0" applyFont="1" applyBorder="1" applyAlignment="1" applyProtection="1">
      <alignment horizontal="left" indent="1"/>
      <protection locked="0"/>
    </xf>
    <xf numFmtId="2" fontId="4" fillId="0" borderId="42" xfId="0" applyNumberFormat="1" applyFont="1" applyFill="1" applyBorder="1" applyAlignment="1" applyProtection="1">
      <alignment horizontal="center"/>
      <protection/>
    </xf>
    <xf numFmtId="2" fontId="4" fillId="0" borderId="43" xfId="0" applyNumberFormat="1" applyFont="1" applyFill="1" applyBorder="1" applyAlignment="1" applyProtection="1">
      <alignment horizontal="center"/>
      <protection/>
    </xf>
    <xf numFmtId="2" fontId="4" fillId="0" borderId="44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 indent="1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" fontId="4" fillId="0" borderId="49" xfId="0" applyNumberFormat="1" applyFont="1" applyBorder="1" applyAlignment="1" applyProtection="1">
      <alignment horizontal="center"/>
      <protection/>
    </xf>
    <xf numFmtId="1" fontId="4" fillId="0" borderId="48" xfId="0" applyNumberFormat="1" applyFont="1" applyBorder="1" applyAlignment="1" applyProtection="1">
      <alignment horizontal="center"/>
      <protection/>
    </xf>
    <xf numFmtId="1" fontId="4" fillId="0" borderId="50" xfId="0" applyNumberFormat="1" applyFont="1" applyFill="1" applyBorder="1" applyAlignment="1" applyProtection="1">
      <alignment horizontal="center"/>
      <protection/>
    </xf>
    <xf numFmtId="1" fontId="4" fillId="0" borderId="51" xfId="0" applyNumberFormat="1" applyFont="1" applyFill="1" applyBorder="1" applyAlignment="1" applyProtection="1">
      <alignment horizontal="center"/>
      <protection/>
    </xf>
    <xf numFmtId="1" fontId="4" fillId="0" borderId="5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1" fontId="0" fillId="33" borderId="39" xfId="0" applyNumberFormat="1" applyFont="1" applyFill="1" applyBorder="1" applyAlignment="1" applyProtection="1">
      <alignment horizontal="center"/>
      <protection locked="0"/>
    </xf>
    <xf numFmtId="1" fontId="0" fillId="33" borderId="55" xfId="0" applyNumberFormat="1" applyFont="1" applyFill="1" applyBorder="1" applyAlignment="1" applyProtection="1">
      <alignment horizontal="center"/>
      <protection locked="0"/>
    </xf>
    <xf numFmtId="1" fontId="0" fillId="33" borderId="56" xfId="0" applyNumberFormat="1" applyFont="1" applyFill="1" applyBorder="1" applyAlignment="1" applyProtection="1">
      <alignment horizontal="center"/>
      <protection locked="0"/>
    </xf>
    <xf numFmtId="1" fontId="0" fillId="33" borderId="53" xfId="0" applyNumberFormat="1" applyFont="1" applyFill="1" applyBorder="1" applyAlignment="1" applyProtection="1">
      <alignment horizontal="center"/>
      <protection locked="0"/>
    </xf>
    <xf numFmtId="1" fontId="0" fillId="33" borderId="42" xfId="0" applyNumberFormat="1" applyFont="1" applyFill="1" applyBorder="1" applyAlignment="1" applyProtection="1">
      <alignment horizontal="center"/>
      <protection locked="0"/>
    </xf>
    <xf numFmtId="1" fontId="0" fillId="33" borderId="5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1" name="WordArt 32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" name="WordArt 33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3" name="WordArt 34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4" name="WordArt 36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5" name="WordArt 37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6" name="WordArt 38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7" name="WordArt 39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30</xdr:col>
      <xdr:colOff>285750</xdr:colOff>
      <xdr:row>18</xdr:row>
      <xdr:rowOff>180975</xdr:rowOff>
    </xdr:to>
    <xdr:sp macro="[0]!Summary">
      <xdr:nvSpPr>
        <xdr:cNvPr id="8" name="WordArt 40"/>
        <xdr:cNvSpPr>
          <a:spLocks/>
        </xdr:cNvSpPr>
      </xdr:nvSpPr>
      <xdr:spPr>
        <a:xfrm>
          <a:off x="13325475" y="35623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25</xdr:row>
      <xdr:rowOff>28575</xdr:rowOff>
    </xdr:from>
    <xdr:to>
      <xdr:col>30</xdr:col>
      <xdr:colOff>285750</xdr:colOff>
      <xdr:row>25</xdr:row>
      <xdr:rowOff>180975</xdr:rowOff>
    </xdr:to>
    <xdr:sp macro="[0]!Summary">
      <xdr:nvSpPr>
        <xdr:cNvPr id="9" name="WordArt 41"/>
        <xdr:cNvSpPr>
          <a:spLocks/>
        </xdr:cNvSpPr>
      </xdr:nvSpPr>
      <xdr:spPr>
        <a:xfrm>
          <a:off x="13325475" y="49720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0" name="WordArt 42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1" name="WordArt 43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2" name="WordArt 44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3" name="WordArt 45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4" name="WordArt 46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15" name="WordArt 47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22</xdr:row>
      <xdr:rowOff>28575</xdr:rowOff>
    </xdr:from>
    <xdr:to>
      <xdr:col>30</xdr:col>
      <xdr:colOff>285750</xdr:colOff>
      <xdr:row>22</xdr:row>
      <xdr:rowOff>180975</xdr:rowOff>
    </xdr:to>
    <xdr:sp macro="[0]!Summary">
      <xdr:nvSpPr>
        <xdr:cNvPr id="16" name="WordArt 48"/>
        <xdr:cNvSpPr>
          <a:spLocks/>
        </xdr:cNvSpPr>
      </xdr:nvSpPr>
      <xdr:spPr>
        <a:xfrm>
          <a:off x="13325475" y="43719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24</xdr:row>
      <xdr:rowOff>28575</xdr:rowOff>
    </xdr:from>
    <xdr:to>
      <xdr:col>30</xdr:col>
      <xdr:colOff>285750</xdr:colOff>
      <xdr:row>24</xdr:row>
      <xdr:rowOff>180975</xdr:rowOff>
    </xdr:to>
    <xdr:sp macro="[0]!Summary">
      <xdr:nvSpPr>
        <xdr:cNvPr id="17" name="WordArt 49"/>
        <xdr:cNvSpPr>
          <a:spLocks/>
        </xdr:cNvSpPr>
      </xdr:nvSpPr>
      <xdr:spPr>
        <a:xfrm>
          <a:off x="13325475" y="47720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21</xdr:row>
      <xdr:rowOff>0</xdr:rowOff>
    </xdr:from>
    <xdr:to>
      <xdr:col>30</xdr:col>
      <xdr:colOff>285750</xdr:colOff>
      <xdr:row>21</xdr:row>
      <xdr:rowOff>0</xdr:rowOff>
    </xdr:to>
    <xdr:sp macro="[0]!Summary">
      <xdr:nvSpPr>
        <xdr:cNvPr id="18" name="WordArt 50"/>
        <xdr:cNvSpPr>
          <a:spLocks/>
        </xdr:cNvSpPr>
      </xdr:nvSpPr>
      <xdr:spPr>
        <a:xfrm>
          <a:off x="13325475" y="41433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19</xdr:row>
      <xdr:rowOff>28575</xdr:rowOff>
    </xdr:from>
    <xdr:to>
      <xdr:col>30</xdr:col>
      <xdr:colOff>285750</xdr:colOff>
      <xdr:row>19</xdr:row>
      <xdr:rowOff>180975</xdr:rowOff>
    </xdr:to>
    <xdr:sp macro="[0]!Summary">
      <xdr:nvSpPr>
        <xdr:cNvPr id="19" name="WordArt 52"/>
        <xdr:cNvSpPr>
          <a:spLocks/>
        </xdr:cNvSpPr>
      </xdr:nvSpPr>
      <xdr:spPr>
        <a:xfrm>
          <a:off x="13325475" y="37623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20</xdr:row>
      <xdr:rowOff>28575</xdr:rowOff>
    </xdr:from>
    <xdr:to>
      <xdr:col>30</xdr:col>
      <xdr:colOff>285750</xdr:colOff>
      <xdr:row>20</xdr:row>
      <xdr:rowOff>180975</xdr:rowOff>
    </xdr:to>
    <xdr:sp macro="[0]!Summary">
      <xdr:nvSpPr>
        <xdr:cNvPr id="20" name="WordArt 53"/>
        <xdr:cNvSpPr>
          <a:spLocks/>
        </xdr:cNvSpPr>
      </xdr:nvSpPr>
      <xdr:spPr>
        <a:xfrm>
          <a:off x="13325475" y="396240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1" name="WordArt 54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2" name="WordArt 55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3" name="WordArt 56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4" name="WordArt 57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5" name="WordArt 58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17</xdr:row>
      <xdr:rowOff>0</xdr:rowOff>
    </xdr:from>
    <xdr:to>
      <xdr:col>30</xdr:col>
      <xdr:colOff>285750</xdr:colOff>
      <xdr:row>17</xdr:row>
      <xdr:rowOff>0</xdr:rowOff>
    </xdr:to>
    <xdr:sp macro="[0]!Summary">
      <xdr:nvSpPr>
        <xdr:cNvPr id="26" name="WordArt 59"/>
        <xdr:cNvSpPr>
          <a:spLocks/>
        </xdr:cNvSpPr>
      </xdr:nvSpPr>
      <xdr:spPr>
        <a:xfrm>
          <a:off x="13325475" y="333375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4</xdr:row>
      <xdr:rowOff>28575</xdr:rowOff>
    </xdr:from>
    <xdr:to>
      <xdr:col>30</xdr:col>
      <xdr:colOff>285750</xdr:colOff>
      <xdr:row>4</xdr:row>
      <xdr:rowOff>180975</xdr:rowOff>
    </xdr:to>
    <xdr:sp macro="[0]!Summary">
      <xdr:nvSpPr>
        <xdr:cNvPr id="27" name="WordArt 60"/>
        <xdr:cNvSpPr>
          <a:spLocks/>
        </xdr:cNvSpPr>
      </xdr:nvSpPr>
      <xdr:spPr>
        <a:xfrm>
          <a:off x="13325475" y="7334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7</xdr:row>
      <xdr:rowOff>28575</xdr:rowOff>
    </xdr:from>
    <xdr:to>
      <xdr:col>30</xdr:col>
      <xdr:colOff>285750</xdr:colOff>
      <xdr:row>7</xdr:row>
      <xdr:rowOff>180975</xdr:rowOff>
    </xdr:to>
    <xdr:sp macro="[0]!Summary">
      <xdr:nvSpPr>
        <xdr:cNvPr id="28" name="WordArt 61"/>
        <xdr:cNvSpPr>
          <a:spLocks/>
        </xdr:cNvSpPr>
      </xdr:nvSpPr>
      <xdr:spPr>
        <a:xfrm>
          <a:off x="13325475" y="133350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16</xdr:row>
      <xdr:rowOff>28575</xdr:rowOff>
    </xdr:from>
    <xdr:to>
      <xdr:col>30</xdr:col>
      <xdr:colOff>285750</xdr:colOff>
      <xdr:row>16</xdr:row>
      <xdr:rowOff>180975</xdr:rowOff>
    </xdr:to>
    <xdr:sp macro="[0]!Summary">
      <xdr:nvSpPr>
        <xdr:cNvPr id="29" name="WordArt 65"/>
        <xdr:cNvSpPr>
          <a:spLocks/>
        </xdr:cNvSpPr>
      </xdr:nvSpPr>
      <xdr:spPr>
        <a:xfrm>
          <a:off x="13325475" y="31527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8</xdr:row>
      <xdr:rowOff>0</xdr:rowOff>
    </xdr:from>
    <xdr:to>
      <xdr:col>30</xdr:col>
      <xdr:colOff>285750</xdr:colOff>
      <xdr:row>8</xdr:row>
      <xdr:rowOff>0</xdr:rowOff>
    </xdr:to>
    <xdr:sp macro="[0]!Summary">
      <xdr:nvSpPr>
        <xdr:cNvPr id="30" name="WordArt 66"/>
        <xdr:cNvSpPr>
          <a:spLocks/>
        </xdr:cNvSpPr>
      </xdr:nvSpPr>
      <xdr:spPr>
        <a:xfrm>
          <a:off x="13325475" y="15144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8</xdr:row>
      <xdr:rowOff>0</xdr:rowOff>
    </xdr:from>
    <xdr:to>
      <xdr:col>30</xdr:col>
      <xdr:colOff>285750</xdr:colOff>
      <xdr:row>8</xdr:row>
      <xdr:rowOff>0</xdr:rowOff>
    </xdr:to>
    <xdr:sp macro="[0]!Summary">
      <xdr:nvSpPr>
        <xdr:cNvPr id="31" name="WordArt 67"/>
        <xdr:cNvSpPr>
          <a:spLocks/>
        </xdr:cNvSpPr>
      </xdr:nvSpPr>
      <xdr:spPr>
        <a:xfrm>
          <a:off x="13325475" y="151447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32" name="WordArt 68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26</xdr:row>
      <xdr:rowOff>0</xdr:rowOff>
    </xdr:from>
    <xdr:to>
      <xdr:col>30</xdr:col>
      <xdr:colOff>285750</xdr:colOff>
      <xdr:row>26</xdr:row>
      <xdr:rowOff>0</xdr:rowOff>
    </xdr:to>
    <xdr:sp macro="[0]!Summary">
      <xdr:nvSpPr>
        <xdr:cNvPr id="33" name="WordArt 69"/>
        <xdr:cNvSpPr>
          <a:spLocks/>
        </xdr:cNvSpPr>
      </xdr:nvSpPr>
      <xdr:spPr>
        <a:xfrm>
          <a:off x="13325475" y="5153025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9</xdr:row>
      <xdr:rowOff>0</xdr:rowOff>
    </xdr:from>
    <xdr:to>
      <xdr:col>30</xdr:col>
      <xdr:colOff>285750</xdr:colOff>
      <xdr:row>9</xdr:row>
      <xdr:rowOff>0</xdr:rowOff>
    </xdr:to>
    <xdr:sp macro="[0]!Summary">
      <xdr:nvSpPr>
        <xdr:cNvPr id="34" name="WordArt 71"/>
        <xdr:cNvSpPr>
          <a:spLocks/>
        </xdr:cNvSpPr>
      </xdr:nvSpPr>
      <xdr:spPr>
        <a:xfrm>
          <a:off x="13325475" y="171450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9</xdr:row>
      <xdr:rowOff>28575</xdr:rowOff>
    </xdr:from>
    <xdr:to>
      <xdr:col>30</xdr:col>
      <xdr:colOff>285750</xdr:colOff>
      <xdr:row>9</xdr:row>
      <xdr:rowOff>180975</xdr:rowOff>
    </xdr:to>
    <xdr:sp macro="[0]!Summary">
      <xdr:nvSpPr>
        <xdr:cNvPr id="35" name="WordArt 72"/>
        <xdr:cNvSpPr>
          <a:spLocks/>
        </xdr:cNvSpPr>
      </xdr:nvSpPr>
      <xdr:spPr>
        <a:xfrm>
          <a:off x="13325475" y="17430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11</xdr:row>
      <xdr:rowOff>28575</xdr:rowOff>
    </xdr:from>
    <xdr:to>
      <xdr:col>30</xdr:col>
      <xdr:colOff>285750</xdr:colOff>
      <xdr:row>11</xdr:row>
      <xdr:rowOff>180975</xdr:rowOff>
    </xdr:to>
    <xdr:sp macro="[0]!Summary">
      <xdr:nvSpPr>
        <xdr:cNvPr id="36" name="WordArt 73"/>
        <xdr:cNvSpPr>
          <a:spLocks/>
        </xdr:cNvSpPr>
      </xdr:nvSpPr>
      <xdr:spPr>
        <a:xfrm>
          <a:off x="13325475" y="21431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12</xdr:row>
      <xdr:rowOff>28575</xdr:rowOff>
    </xdr:from>
    <xdr:to>
      <xdr:col>30</xdr:col>
      <xdr:colOff>285750</xdr:colOff>
      <xdr:row>12</xdr:row>
      <xdr:rowOff>180975</xdr:rowOff>
    </xdr:to>
    <xdr:sp macro="[0]!Summary">
      <xdr:nvSpPr>
        <xdr:cNvPr id="37" name="WordArt 74"/>
        <xdr:cNvSpPr>
          <a:spLocks/>
        </xdr:cNvSpPr>
      </xdr:nvSpPr>
      <xdr:spPr>
        <a:xfrm>
          <a:off x="13325475" y="23431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14</xdr:row>
      <xdr:rowOff>28575</xdr:rowOff>
    </xdr:from>
    <xdr:to>
      <xdr:col>30</xdr:col>
      <xdr:colOff>285750</xdr:colOff>
      <xdr:row>14</xdr:row>
      <xdr:rowOff>180975</xdr:rowOff>
    </xdr:to>
    <xdr:sp macro="[0]!Summary">
      <xdr:nvSpPr>
        <xdr:cNvPr id="38" name="WordArt 75"/>
        <xdr:cNvSpPr>
          <a:spLocks/>
        </xdr:cNvSpPr>
      </xdr:nvSpPr>
      <xdr:spPr>
        <a:xfrm>
          <a:off x="13325475" y="27527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15</xdr:row>
      <xdr:rowOff>28575</xdr:rowOff>
    </xdr:from>
    <xdr:to>
      <xdr:col>30</xdr:col>
      <xdr:colOff>285750</xdr:colOff>
      <xdr:row>15</xdr:row>
      <xdr:rowOff>180975</xdr:rowOff>
    </xdr:to>
    <xdr:sp macro="[0]!Summary">
      <xdr:nvSpPr>
        <xdr:cNvPr id="39" name="WordArt 76"/>
        <xdr:cNvSpPr>
          <a:spLocks/>
        </xdr:cNvSpPr>
      </xdr:nvSpPr>
      <xdr:spPr>
        <a:xfrm>
          <a:off x="13325475" y="29527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15</xdr:row>
      <xdr:rowOff>28575</xdr:rowOff>
    </xdr:from>
    <xdr:to>
      <xdr:col>30</xdr:col>
      <xdr:colOff>285750</xdr:colOff>
      <xdr:row>15</xdr:row>
      <xdr:rowOff>180975</xdr:rowOff>
    </xdr:to>
    <xdr:sp macro="[0]!Summary">
      <xdr:nvSpPr>
        <xdr:cNvPr id="40" name="WordArt 77"/>
        <xdr:cNvSpPr>
          <a:spLocks/>
        </xdr:cNvSpPr>
      </xdr:nvSpPr>
      <xdr:spPr>
        <a:xfrm>
          <a:off x="13325475" y="29527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16</xdr:row>
      <xdr:rowOff>28575</xdr:rowOff>
    </xdr:from>
    <xdr:to>
      <xdr:col>30</xdr:col>
      <xdr:colOff>285750</xdr:colOff>
      <xdr:row>16</xdr:row>
      <xdr:rowOff>180975</xdr:rowOff>
    </xdr:to>
    <xdr:sp macro="[0]!Summary">
      <xdr:nvSpPr>
        <xdr:cNvPr id="41" name="WordArt 78"/>
        <xdr:cNvSpPr>
          <a:spLocks/>
        </xdr:cNvSpPr>
      </xdr:nvSpPr>
      <xdr:spPr>
        <a:xfrm>
          <a:off x="13325475" y="31527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18</xdr:row>
      <xdr:rowOff>28575</xdr:rowOff>
    </xdr:from>
    <xdr:to>
      <xdr:col>30</xdr:col>
      <xdr:colOff>285750</xdr:colOff>
      <xdr:row>18</xdr:row>
      <xdr:rowOff>180975</xdr:rowOff>
    </xdr:to>
    <xdr:sp macro="[0]!Summary">
      <xdr:nvSpPr>
        <xdr:cNvPr id="42" name="WordArt 79"/>
        <xdr:cNvSpPr>
          <a:spLocks/>
        </xdr:cNvSpPr>
      </xdr:nvSpPr>
      <xdr:spPr>
        <a:xfrm>
          <a:off x="13325475" y="35623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19</xdr:row>
      <xdr:rowOff>28575</xdr:rowOff>
    </xdr:from>
    <xdr:to>
      <xdr:col>30</xdr:col>
      <xdr:colOff>285750</xdr:colOff>
      <xdr:row>19</xdr:row>
      <xdr:rowOff>180975</xdr:rowOff>
    </xdr:to>
    <xdr:sp macro="[0]!Summary">
      <xdr:nvSpPr>
        <xdr:cNvPr id="43" name="WordArt 80"/>
        <xdr:cNvSpPr>
          <a:spLocks/>
        </xdr:cNvSpPr>
      </xdr:nvSpPr>
      <xdr:spPr>
        <a:xfrm>
          <a:off x="13325475" y="37623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19</xdr:row>
      <xdr:rowOff>28575</xdr:rowOff>
    </xdr:from>
    <xdr:to>
      <xdr:col>30</xdr:col>
      <xdr:colOff>285750</xdr:colOff>
      <xdr:row>19</xdr:row>
      <xdr:rowOff>180975</xdr:rowOff>
    </xdr:to>
    <xdr:sp macro="[0]!Summary">
      <xdr:nvSpPr>
        <xdr:cNvPr id="44" name="WordArt 81"/>
        <xdr:cNvSpPr>
          <a:spLocks/>
        </xdr:cNvSpPr>
      </xdr:nvSpPr>
      <xdr:spPr>
        <a:xfrm>
          <a:off x="13325475" y="37623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20</xdr:row>
      <xdr:rowOff>28575</xdr:rowOff>
    </xdr:from>
    <xdr:to>
      <xdr:col>30</xdr:col>
      <xdr:colOff>285750</xdr:colOff>
      <xdr:row>20</xdr:row>
      <xdr:rowOff>180975</xdr:rowOff>
    </xdr:to>
    <xdr:sp macro="[0]!Summary">
      <xdr:nvSpPr>
        <xdr:cNvPr id="45" name="WordArt 82"/>
        <xdr:cNvSpPr>
          <a:spLocks/>
        </xdr:cNvSpPr>
      </xdr:nvSpPr>
      <xdr:spPr>
        <a:xfrm>
          <a:off x="13325475" y="396240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22</xdr:row>
      <xdr:rowOff>28575</xdr:rowOff>
    </xdr:from>
    <xdr:to>
      <xdr:col>30</xdr:col>
      <xdr:colOff>285750</xdr:colOff>
      <xdr:row>22</xdr:row>
      <xdr:rowOff>180975</xdr:rowOff>
    </xdr:to>
    <xdr:sp macro="[0]!Summary">
      <xdr:nvSpPr>
        <xdr:cNvPr id="46" name="WordArt 83"/>
        <xdr:cNvSpPr>
          <a:spLocks/>
        </xdr:cNvSpPr>
      </xdr:nvSpPr>
      <xdr:spPr>
        <a:xfrm>
          <a:off x="13325475" y="43719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24</xdr:row>
      <xdr:rowOff>28575</xdr:rowOff>
    </xdr:from>
    <xdr:to>
      <xdr:col>30</xdr:col>
      <xdr:colOff>285750</xdr:colOff>
      <xdr:row>24</xdr:row>
      <xdr:rowOff>180975</xdr:rowOff>
    </xdr:to>
    <xdr:sp macro="[0]!Summary">
      <xdr:nvSpPr>
        <xdr:cNvPr id="47" name="WordArt 84"/>
        <xdr:cNvSpPr>
          <a:spLocks/>
        </xdr:cNvSpPr>
      </xdr:nvSpPr>
      <xdr:spPr>
        <a:xfrm>
          <a:off x="13325475" y="47720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24</xdr:row>
      <xdr:rowOff>28575</xdr:rowOff>
    </xdr:from>
    <xdr:to>
      <xdr:col>30</xdr:col>
      <xdr:colOff>285750</xdr:colOff>
      <xdr:row>24</xdr:row>
      <xdr:rowOff>180975</xdr:rowOff>
    </xdr:to>
    <xdr:sp macro="[0]!Summary">
      <xdr:nvSpPr>
        <xdr:cNvPr id="48" name="WordArt 85"/>
        <xdr:cNvSpPr>
          <a:spLocks/>
        </xdr:cNvSpPr>
      </xdr:nvSpPr>
      <xdr:spPr>
        <a:xfrm>
          <a:off x="13325475" y="477202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25</xdr:row>
      <xdr:rowOff>28575</xdr:rowOff>
    </xdr:from>
    <xdr:to>
      <xdr:col>30</xdr:col>
      <xdr:colOff>285750</xdr:colOff>
      <xdr:row>25</xdr:row>
      <xdr:rowOff>180975</xdr:rowOff>
    </xdr:to>
    <xdr:sp macro="[0]!Summary">
      <xdr:nvSpPr>
        <xdr:cNvPr id="49" name="WordArt 86"/>
        <xdr:cNvSpPr>
          <a:spLocks/>
        </xdr:cNvSpPr>
      </xdr:nvSpPr>
      <xdr:spPr>
        <a:xfrm>
          <a:off x="13325475" y="49720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5</xdr:row>
      <xdr:rowOff>28575</xdr:rowOff>
    </xdr:from>
    <xdr:to>
      <xdr:col>30</xdr:col>
      <xdr:colOff>285750</xdr:colOff>
      <xdr:row>5</xdr:row>
      <xdr:rowOff>180975</xdr:rowOff>
    </xdr:to>
    <xdr:sp macro="[0]!Summary">
      <xdr:nvSpPr>
        <xdr:cNvPr id="50" name="WordArt 87"/>
        <xdr:cNvSpPr>
          <a:spLocks/>
        </xdr:cNvSpPr>
      </xdr:nvSpPr>
      <xdr:spPr>
        <a:xfrm>
          <a:off x="13325475" y="93345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6</xdr:row>
      <xdr:rowOff>28575</xdr:rowOff>
    </xdr:from>
    <xdr:to>
      <xdr:col>30</xdr:col>
      <xdr:colOff>285750</xdr:colOff>
      <xdr:row>6</xdr:row>
      <xdr:rowOff>180975</xdr:rowOff>
    </xdr:to>
    <xdr:sp macro="[0]!Summary">
      <xdr:nvSpPr>
        <xdr:cNvPr id="51" name="WordArt 88"/>
        <xdr:cNvSpPr>
          <a:spLocks/>
        </xdr:cNvSpPr>
      </xdr:nvSpPr>
      <xdr:spPr>
        <a:xfrm>
          <a:off x="13325475" y="1133475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10</xdr:row>
      <xdr:rowOff>28575</xdr:rowOff>
    </xdr:from>
    <xdr:to>
      <xdr:col>30</xdr:col>
      <xdr:colOff>285750</xdr:colOff>
      <xdr:row>10</xdr:row>
      <xdr:rowOff>180975</xdr:rowOff>
    </xdr:to>
    <xdr:sp macro="[0]!Summary">
      <xdr:nvSpPr>
        <xdr:cNvPr id="52" name="WordArt 89"/>
        <xdr:cNvSpPr>
          <a:spLocks/>
        </xdr:cNvSpPr>
      </xdr:nvSpPr>
      <xdr:spPr>
        <a:xfrm>
          <a:off x="13325475" y="194310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  <xdr:twoCellAnchor>
    <xdr:from>
      <xdr:col>30</xdr:col>
      <xdr:colOff>47625</xdr:colOff>
      <xdr:row>23</xdr:row>
      <xdr:rowOff>28575</xdr:rowOff>
    </xdr:from>
    <xdr:to>
      <xdr:col>30</xdr:col>
      <xdr:colOff>285750</xdr:colOff>
      <xdr:row>23</xdr:row>
      <xdr:rowOff>180975</xdr:rowOff>
    </xdr:to>
    <xdr:sp macro="[0]!Summary">
      <xdr:nvSpPr>
        <xdr:cNvPr id="53" name="WordArt 90"/>
        <xdr:cNvSpPr>
          <a:spLocks/>
        </xdr:cNvSpPr>
      </xdr:nvSpPr>
      <xdr:spPr>
        <a:xfrm>
          <a:off x="13325475" y="4572000"/>
          <a:ext cx="2381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Wingdings 2"/>
              <a:cs typeface="Wingdings 2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9.421875" style="28" bestFit="1" customWidth="1"/>
    <col min="2" max="13" width="7.28125" style="28" customWidth="1"/>
    <col min="14" max="14" width="7.7109375" style="28" customWidth="1"/>
    <col min="15" max="15" width="6.140625" style="28" bestFit="1" customWidth="1"/>
    <col min="16" max="16" width="9.140625" style="28" customWidth="1"/>
    <col min="17" max="17" width="10.421875" style="28" bestFit="1" customWidth="1"/>
    <col min="18" max="16384" width="9.140625" style="28" customWidth="1"/>
  </cols>
  <sheetData>
    <row r="1" spans="1:15" ht="15">
      <c r="A1" s="1"/>
      <c r="B1" s="117" t="s">
        <v>49</v>
      </c>
      <c r="C1" s="118"/>
      <c r="D1" s="118"/>
      <c r="E1" s="119"/>
      <c r="F1" s="117" t="s">
        <v>48</v>
      </c>
      <c r="G1" s="118"/>
      <c r="H1" s="118"/>
      <c r="I1" s="119"/>
      <c r="J1" s="117" t="s">
        <v>47</v>
      </c>
      <c r="K1" s="118"/>
      <c r="L1" s="118"/>
      <c r="M1" s="119"/>
      <c r="N1" s="1"/>
      <c r="O1" s="1"/>
    </row>
    <row r="2" spans="1:15" ht="15.75" thickBot="1">
      <c r="A2" s="3"/>
      <c r="B2" s="120" t="s">
        <v>50</v>
      </c>
      <c r="C2" s="120"/>
      <c r="D2" s="120"/>
      <c r="E2" s="120"/>
      <c r="F2" s="120" t="s">
        <v>99</v>
      </c>
      <c r="G2" s="120"/>
      <c r="H2" s="120"/>
      <c r="I2" s="120"/>
      <c r="J2" s="120" t="s">
        <v>100</v>
      </c>
      <c r="K2" s="120"/>
      <c r="L2" s="120"/>
      <c r="M2" s="120"/>
      <c r="N2" s="46"/>
      <c r="O2" s="1"/>
    </row>
    <row r="3" spans="1:15" ht="15.75" thickBot="1">
      <c r="A3" s="8"/>
      <c r="B3" s="10" t="s">
        <v>16</v>
      </c>
      <c r="C3" s="11" t="s">
        <v>51</v>
      </c>
      <c r="D3" s="11" t="s">
        <v>11</v>
      </c>
      <c r="E3" s="57" t="s">
        <v>1</v>
      </c>
      <c r="F3" s="10" t="s">
        <v>16</v>
      </c>
      <c r="G3" s="11" t="s">
        <v>51</v>
      </c>
      <c r="H3" s="11" t="s">
        <v>11</v>
      </c>
      <c r="I3" s="57" t="s">
        <v>1</v>
      </c>
      <c r="J3" s="10" t="s">
        <v>16</v>
      </c>
      <c r="K3" s="11" t="s">
        <v>51</v>
      </c>
      <c r="L3" s="11" t="s">
        <v>11</v>
      </c>
      <c r="M3" s="57" t="s">
        <v>1</v>
      </c>
      <c r="N3" s="4" t="s">
        <v>12</v>
      </c>
      <c r="O3" s="9" t="s">
        <v>19</v>
      </c>
    </row>
    <row r="4" spans="1:17" ht="15.75" thickBot="1">
      <c r="A4" s="89" t="s">
        <v>38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  <c r="Q4" s="28">
        <f ca="1">INT(INT(RAND()*100))</f>
        <v>83</v>
      </c>
    </row>
    <row r="5" spans="1:15" ht="15.75">
      <c r="A5" s="90" t="s">
        <v>81</v>
      </c>
      <c r="B5" s="58">
        <v>45</v>
      </c>
      <c r="C5" s="59">
        <v>50</v>
      </c>
      <c r="D5" s="59">
        <v>60</v>
      </c>
      <c r="E5" s="70">
        <f>B5+C5+D5</f>
        <v>155</v>
      </c>
      <c r="F5" s="65">
        <v>70</v>
      </c>
      <c r="G5" s="59">
        <v>71</v>
      </c>
      <c r="H5" s="59">
        <v>68</v>
      </c>
      <c r="I5" s="113">
        <f>F5+G5+H5</f>
        <v>209</v>
      </c>
      <c r="J5" s="58">
        <v>60</v>
      </c>
      <c r="K5" s="59">
        <v>55</v>
      </c>
      <c r="L5" s="59">
        <v>56</v>
      </c>
      <c r="M5" s="70">
        <f>J5+K5+L5</f>
        <v>171</v>
      </c>
      <c r="N5" s="101">
        <f>(E5+I5+M5)/9</f>
        <v>59.44444444444444</v>
      </c>
      <c r="O5" s="60">
        <f>RANK(N5,$N$5:$N$8)</f>
        <v>4</v>
      </c>
    </row>
    <row r="6" spans="1:15" ht="15.75">
      <c r="A6" s="100" t="s">
        <v>82</v>
      </c>
      <c r="B6" s="16">
        <v>48</v>
      </c>
      <c r="C6" s="17">
        <v>40</v>
      </c>
      <c r="D6" s="17">
        <v>55</v>
      </c>
      <c r="E6" s="61">
        <f>B6+C6+D6</f>
        <v>143</v>
      </c>
      <c r="F6" s="66">
        <v>69</v>
      </c>
      <c r="G6" s="17">
        <v>69</v>
      </c>
      <c r="H6" s="17">
        <v>74</v>
      </c>
      <c r="I6" s="114">
        <f>F6+G6+H6</f>
        <v>212</v>
      </c>
      <c r="J6" s="16">
        <f>(J5+J7+J8)/3</f>
        <v>66</v>
      </c>
      <c r="K6" s="17">
        <v>50</v>
      </c>
      <c r="L6" s="17">
        <f>(L5+L7+L8)/3</f>
        <v>65.33333333333333</v>
      </c>
      <c r="M6" s="61">
        <f>J6+K6+L6</f>
        <v>181.33333333333331</v>
      </c>
      <c r="N6" s="102">
        <f>(E6+I6+M6)/9</f>
        <v>59.59259259259258</v>
      </c>
      <c r="O6" s="20">
        <f>RANK(N6,$N$5:$N$8)</f>
        <v>3</v>
      </c>
    </row>
    <row r="7" spans="1:15" ht="15.75">
      <c r="A7" s="100" t="s">
        <v>83</v>
      </c>
      <c r="B7" s="16">
        <v>75</v>
      </c>
      <c r="C7" s="17">
        <v>75</v>
      </c>
      <c r="D7" s="17">
        <v>80</v>
      </c>
      <c r="E7" s="61">
        <f>B7+C7+D7</f>
        <v>230</v>
      </c>
      <c r="F7" s="66">
        <v>74</v>
      </c>
      <c r="G7" s="17">
        <v>75</v>
      </c>
      <c r="H7" s="17">
        <v>76</v>
      </c>
      <c r="I7" s="114">
        <f>F7+G7+H7</f>
        <v>225</v>
      </c>
      <c r="J7" s="16">
        <v>70</v>
      </c>
      <c r="K7" s="17">
        <v>75</v>
      </c>
      <c r="L7" s="17">
        <v>74</v>
      </c>
      <c r="M7" s="61">
        <f>J7+K7+L7</f>
        <v>219</v>
      </c>
      <c r="N7" s="102">
        <f>(E7+I7+M7)/9</f>
        <v>74.88888888888889</v>
      </c>
      <c r="O7" s="20">
        <f>RANK(N7,$N$5:$N$8)</f>
        <v>1</v>
      </c>
    </row>
    <row r="8" spans="1:15" ht="16.5" thickBot="1">
      <c r="A8" s="91" t="s">
        <v>84</v>
      </c>
      <c r="B8" s="52">
        <v>70</v>
      </c>
      <c r="C8" s="53">
        <v>72</v>
      </c>
      <c r="D8" s="53">
        <v>83</v>
      </c>
      <c r="E8" s="62">
        <f>B8+C8+D8</f>
        <v>225</v>
      </c>
      <c r="F8" s="67">
        <v>76</v>
      </c>
      <c r="G8" s="53">
        <v>78</v>
      </c>
      <c r="H8" s="53">
        <v>78</v>
      </c>
      <c r="I8" s="115">
        <f>F8+G8+H8</f>
        <v>232</v>
      </c>
      <c r="J8" s="52">
        <v>68</v>
      </c>
      <c r="K8" s="53">
        <v>70</v>
      </c>
      <c r="L8" s="53">
        <v>66</v>
      </c>
      <c r="M8" s="62">
        <f>J8+K8+L8</f>
        <v>204</v>
      </c>
      <c r="N8" s="103">
        <f>(E8+I8+M8)/9</f>
        <v>73.44444444444444</v>
      </c>
      <c r="O8" s="56">
        <f>RANK(N8,$N$5:$N$8)</f>
        <v>2</v>
      </c>
    </row>
    <row r="9" spans="1:15" ht="15.75" customHeight="1" thickBot="1">
      <c r="A9" s="89" t="s">
        <v>37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ht="15.75" customHeight="1">
      <c r="A10" s="91" t="s">
        <v>85</v>
      </c>
      <c r="B10" s="58">
        <v>83</v>
      </c>
      <c r="C10" s="59">
        <v>85</v>
      </c>
      <c r="D10" s="59">
        <v>80</v>
      </c>
      <c r="E10" s="70">
        <f>B10+C10+D10</f>
        <v>248</v>
      </c>
      <c r="F10" s="65">
        <v>75</v>
      </c>
      <c r="G10" s="59">
        <v>75</v>
      </c>
      <c r="H10" s="59">
        <v>75</v>
      </c>
      <c r="I10" s="70">
        <f>F10+G10+H10</f>
        <v>225</v>
      </c>
      <c r="J10" s="65">
        <v>70</v>
      </c>
      <c r="K10" s="59">
        <v>73</v>
      </c>
      <c r="L10" s="59">
        <v>72</v>
      </c>
      <c r="M10" s="70">
        <f>J10+K10+L10</f>
        <v>215</v>
      </c>
      <c r="N10" s="68">
        <f>(E10+I10+M10)/9</f>
        <v>76.44444444444444</v>
      </c>
      <c r="O10" s="111">
        <f>RANK(N10,$N$10:$N$13)</f>
        <v>2</v>
      </c>
    </row>
    <row r="11" spans="1:15" ht="15.75" customHeight="1">
      <c r="A11" s="91" t="s">
        <v>86</v>
      </c>
      <c r="B11" s="16">
        <v>65</v>
      </c>
      <c r="C11" s="17">
        <v>75</v>
      </c>
      <c r="D11" s="17">
        <v>80</v>
      </c>
      <c r="E11" s="61">
        <f>B11+C11+D11</f>
        <v>220</v>
      </c>
      <c r="F11" s="66">
        <v>69</v>
      </c>
      <c r="G11" s="17">
        <v>70</v>
      </c>
      <c r="H11" s="17">
        <v>71</v>
      </c>
      <c r="I11" s="18">
        <f>F11+G11+H11</f>
        <v>210</v>
      </c>
      <c r="J11" s="16">
        <v>50</v>
      </c>
      <c r="K11" s="17">
        <v>60</v>
      </c>
      <c r="L11" s="17">
        <v>67</v>
      </c>
      <c r="M11" s="61">
        <f>J11+K11+L11</f>
        <v>177</v>
      </c>
      <c r="N11" s="102">
        <f>(E11+I11+M11)/9</f>
        <v>67.44444444444444</v>
      </c>
      <c r="O11" s="20">
        <f>RANK(N11,$N$10:$N$13)</f>
        <v>4</v>
      </c>
    </row>
    <row r="12" spans="1:15" ht="15.75" customHeight="1">
      <c r="A12" s="91" t="s">
        <v>87</v>
      </c>
      <c r="B12" s="16">
        <v>87</v>
      </c>
      <c r="C12" s="17">
        <v>85</v>
      </c>
      <c r="D12" s="17">
        <v>86</v>
      </c>
      <c r="E12" s="61">
        <f>B12+C12+D12</f>
        <v>258</v>
      </c>
      <c r="F12" s="66">
        <v>80</v>
      </c>
      <c r="G12" s="17">
        <v>79</v>
      </c>
      <c r="H12" s="17">
        <v>81</v>
      </c>
      <c r="I12" s="18">
        <f>F12+G12+H12</f>
        <v>240</v>
      </c>
      <c r="J12" s="16">
        <v>85</v>
      </c>
      <c r="K12" s="17">
        <v>83</v>
      </c>
      <c r="L12" s="17">
        <v>86</v>
      </c>
      <c r="M12" s="61">
        <f>J12+K12+L12</f>
        <v>254</v>
      </c>
      <c r="N12" s="102">
        <f>(E12+I12+M12)/9</f>
        <v>83.55555555555556</v>
      </c>
      <c r="O12" s="112">
        <f>RANK(N12,$N$10:$N$13)</f>
        <v>1</v>
      </c>
    </row>
    <row r="13" spans="1:15" ht="16.5" thickBot="1">
      <c r="A13" s="91" t="s">
        <v>88</v>
      </c>
      <c r="B13" s="52">
        <v>80</v>
      </c>
      <c r="C13" s="53">
        <v>81</v>
      </c>
      <c r="D13" s="53">
        <v>80</v>
      </c>
      <c r="E13" s="62">
        <f>B13+C13+D13</f>
        <v>241</v>
      </c>
      <c r="F13" s="67">
        <v>73</v>
      </c>
      <c r="G13" s="53">
        <v>74</v>
      </c>
      <c r="H13" s="53">
        <v>74</v>
      </c>
      <c r="I13" s="62">
        <f>F13+G13+H13</f>
        <v>221</v>
      </c>
      <c r="J13" s="67">
        <v>65</v>
      </c>
      <c r="K13" s="53">
        <v>60</v>
      </c>
      <c r="L13" s="53">
        <v>65</v>
      </c>
      <c r="M13" s="62">
        <f>J13+K13+L13</f>
        <v>190</v>
      </c>
      <c r="N13" s="63">
        <f>(E13+I13+M13)/9</f>
        <v>72.44444444444444</v>
      </c>
      <c r="O13" s="56">
        <f>RANK(N13,$N$10:$N$13)</f>
        <v>3</v>
      </c>
    </row>
    <row r="14" spans="1:15" ht="15.75" customHeight="1" thickBot="1">
      <c r="A14" s="89" t="s">
        <v>41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1:15" ht="15.75" customHeight="1">
      <c r="A15" s="91" t="s">
        <v>89</v>
      </c>
      <c r="B15" s="58">
        <v>78</v>
      </c>
      <c r="C15" s="59">
        <v>80</v>
      </c>
      <c r="D15" s="59">
        <v>82</v>
      </c>
      <c r="E15" s="70">
        <f>B15+C15+D15</f>
        <v>240</v>
      </c>
      <c r="F15" s="65">
        <v>69</v>
      </c>
      <c r="G15" s="59">
        <v>68</v>
      </c>
      <c r="H15" s="59">
        <v>70</v>
      </c>
      <c r="I15" s="70">
        <f>F15+G15+H15</f>
        <v>207</v>
      </c>
      <c r="J15" s="65">
        <v>55</v>
      </c>
      <c r="K15" s="59">
        <v>60</v>
      </c>
      <c r="L15" s="59">
        <v>60</v>
      </c>
      <c r="M15" s="70">
        <f>J15+K15+L15</f>
        <v>175</v>
      </c>
      <c r="N15" s="68">
        <f>(E15+I15+M15)/9</f>
        <v>69.11111111111111</v>
      </c>
      <c r="O15" s="60">
        <f>RANK(N15,$N$15:$N$17)</f>
        <v>3</v>
      </c>
    </row>
    <row r="16" spans="1:15" ht="15.75">
      <c r="A16" s="91" t="s">
        <v>90</v>
      </c>
      <c r="B16" s="16">
        <v>81</v>
      </c>
      <c r="C16" s="17">
        <v>85</v>
      </c>
      <c r="D16" s="17">
        <v>85</v>
      </c>
      <c r="E16" s="61">
        <f>B16+C16+D16</f>
        <v>251</v>
      </c>
      <c r="F16" s="66">
        <v>78</v>
      </c>
      <c r="G16" s="17">
        <v>75</v>
      </c>
      <c r="H16" s="17">
        <v>80</v>
      </c>
      <c r="I16" s="61">
        <f>F16+G16+H16</f>
        <v>233</v>
      </c>
      <c r="J16" s="66">
        <v>70</v>
      </c>
      <c r="K16" s="17">
        <v>76</v>
      </c>
      <c r="L16" s="17">
        <v>76</v>
      </c>
      <c r="M16" s="61">
        <f>J16+K16+L16</f>
        <v>222</v>
      </c>
      <c r="N16" s="69">
        <f>(E16+I16+M16)/9</f>
        <v>78.44444444444444</v>
      </c>
      <c r="O16" s="20">
        <f>RANK(N16,$N$15:$N$17)</f>
        <v>1</v>
      </c>
    </row>
    <row r="17" spans="1:15" ht="15.75" customHeight="1" thickBot="1">
      <c r="A17" s="91" t="s">
        <v>91</v>
      </c>
      <c r="B17" s="16">
        <v>85</v>
      </c>
      <c r="C17" s="17">
        <v>81</v>
      </c>
      <c r="D17" s="17">
        <v>86</v>
      </c>
      <c r="E17" s="62">
        <f>B17+C17+D17</f>
        <v>252</v>
      </c>
      <c r="F17" s="66">
        <v>77</v>
      </c>
      <c r="G17" s="17">
        <v>74</v>
      </c>
      <c r="H17" s="17">
        <v>78</v>
      </c>
      <c r="I17" s="62">
        <f>F17+G17+H17</f>
        <v>229</v>
      </c>
      <c r="J17" s="66">
        <v>65</v>
      </c>
      <c r="K17" s="17">
        <v>58</v>
      </c>
      <c r="L17" s="17">
        <v>62</v>
      </c>
      <c r="M17" s="62">
        <f>J17+K17+L17</f>
        <v>185</v>
      </c>
      <c r="N17" s="69">
        <f>(E17+I17+M17)/9</f>
        <v>74</v>
      </c>
      <c r="O17" s="20">
        <f>RANK(N17,$N$15:$N$17)</f>
        <v>2</v>
      </c>
    </row>
    <row r="18" spans="1:15" ht="15.75" customHeight="1" thickBot="1">
      <c r="A18" s="92" t="s">
        <v>46</v>
      </c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</row>
    <row r="19" spans="1:15" ht="15.75">
      <c r="A19" s="90" t="s">
        <v>92</v>
      </c>
      <c r="B19" s="58">
        <v>79</v>
      </c>
      <c r="C19" s="59">
        <v>73</v>
      </c>
      <c r="D19" s="59">
        <v>81</v>
      </c>
      <c r="E19" s="70">
        <f>B19+C19+D19</f>
        <v>233</v>
      </c>
      <c r="F19" s="65">
        <v>71</v>
      </c>
      <c r="G19" s="59">
        <v>70</v>
      </c>
      <c r="H19" s="59">
        <v>75</v>
      </c>
      <c r="I19" s="70">
        <f>F19+G19+H19</f>
        <v>216</v>
      </c>
      <c r="J19" s="59">
        <f>SUM(J20:J21)/2</f>
        <v>65</v>
      </c>
      <c r="K19" s="59">
        <v>50</v>
      </c>
      <c r="L19" s="59">
        <f>SUM(L20:L21)/2</f>
        <v>65</v>
      </c>
      <c r="M19" s="70">
        <f>J19+K19+L19</f>
        <v>180</v>
      </c>
      <c r="N19" s="68">
        <f>(E19+I19+M19)/9</f>
        <v>69.88888888888889</v>
      </c>
      <c r="O19" s="60">
        <f>RANK(N19,$N$19:$N$21)</f>
        <v>3</v>
      </c>
    </row>
    <row r="20" spans="1:15" ht="15.75">
      <c r="A20" s="91" t="s">
        <v>93</v>
      </c>
      <c r="B20" s="16">
        <v>80</v>
      </c>
      <c r="C20" s="17">
        <v>85</v>
      </c>
      <c r="D20" s="17">
        <v>83</v>
      </c>
      <c r="E20" s="61">
        <f>B20+C20+D20</f>
        <v>248</v>
      </c>
      <c r="F20" s="66">
        <v>70</v>
      </c>
      <c r="G20" s="17">
        <v>73</v>
      </c>
      <c r="H20" s="17">
        <v>72</v>
      </c>
      <c r="I20" s="61">
        <f>F20+G20+H20</f>
        <v>215</v>
      </c>
      <c r="J20" s="66">
        <v>60</v>
      </c>
      <c r="K20" s="17">
        <v>65</v>
      </c>
      <c r="L20" s="17">
        <v>60</v>
      </c>
      <c r="M20" s="61">
        <f>J20+K20+L20</f>
        <v>185</v>
      </c>
      <c r="N20" s="69">
        <f>(E20+I20+M20)/9</f>
        <v>72</v>
      </c>
      <c r="O20" s="20">
        <f>RANK(N20,$N$19:$N$21)</f>
        <v>2</v>
      </c>
    </row>
    <row r="21" spans="1:15" ht="16.5" thickBot="1">
      <c r="A21" s="91" t="s">
        <v>94</v>
      </c>
      <c r="B21" s="16">
        <v>84</v>
      </c>
      <c r="C21" s="17">
        <v>82</v>
      </c>
      <c r="D21" s="17">
        <v>85</v>
      </c>
      <c r="E21" s="62">
        <f>B21+C21+D21</f>
        <v>251</v>
      </c>
      <c r="F21" s="66">
        <v>78</v>
      </c>
      <c r="G21" s="17">
        <v>78</v>
      </c>
      <c r="H21" s="17">
        <v>79</v>
      </c>
      <c r="I21" s="62">
        <f>F21+G21+H21</f>
        <v>235</v>
      </c>
      <c r="J21" s="66">
        <v>70</v>
      </c>
      <c r="K21" s="17">
        <v>68</v>
      </c>
      <c r="L21" s="17">
        <v>70</v>
      </c>
      <c r="M21" s="62">
        <f>J21+K21+L21</f>
        <v>208</v>
      </c>
      <c r="N21" s="69">
        <f>(E21+I21+M21)/9</f>
        <v>77.11111111111111</v>
      </c>
      <c r="O21" s="20">
        <f>RANK(N21,$N$19:$N$21)</f>
        <v>1</v>
      </c>
    </row>
    <row r="22" spans="1:15" ht="15.75" thickBot="1">
      <c r="A22" s="92" t="s">
        <v>43</v>
      </c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5"/>
    </row>
    <row r="23" spans="1:15" ht="15.75">
      <c r="A23" s="91" t="s">
        <v>95</v>
      </c>
      <c r="B23" s="58">
        <v>76</v>
      </c>
      <c r="C23" s="59">
        <v>78</v>
      </c>
      <c r="D23" s="59">
        <v>80</v>
      </c>
      <c r="E23" s="70">
        <f>B23+C23+D23</f>
        <v>234</v>
      </c>
      <c r="F23" s="65">
        <v>70</v>
      </c>
      <c r="G23" s="59">
        <v>68</v>
      </c>
      <c r="H23" s="59">
        <v>70</v>
      </c>
      <c r="I23" s="70">
        <f>F23+G23+H23</f>
        <v>208</v>
      </c>
      <c r="J23" s="58">
        <v>63</v>
      </c>
      <c r="K23" s="59">
        <v>64</v>
      </c>
      <c r="L23" s="59">
        <v>62</v>
      </c>
      <c r="M23" s="70">
        <f>J23+K23+L23</f>
        <v>189</v>
      </c>
      <c r="N23" s="68">
        <f>(E23+I23+M23)/9</f>
        <v>70.11111111111111</v>
      </c>
      <c r="O23" s="60">
        <f>RANK(N23,$N$23:$N$26)</f>
        <v>4</v>
      </c>
    </row>
    <row r="24" spans="1:15" ht="15.75">
      <c r="A24" s="91" t="s">
        <v>96</v>
      </c>
      <c r="B24" s="16">
        <v>86</v>
      </c>
      <c r="C24" s="17">
        <v>87</v>
      </c>
      <c r="D24" s="17">
        <v>88</v>
      </c>
      <c r="E24" s="61">
        <f>B24+C24+D24</f>
        <v>261</v>
      </c>
      <c r="F24" s="66">
        <v>76</v>
      </c>
      <c r="G24" s="17">
        <v>76</v>
      </c>
      <c r="H24" s="17">
        <v>71</v>
      </c>
      <c r="I24" s="18">
        <f>F24+G24+H24</f>
        <v>223</v>
      </c>
      <c r="J24" s="16">
        <v>70</v>
      </c>
      <c r="K24" s="17">
        <v>69</v>
      </c>
      <c r="L24" s="17">
        <v>69</v>
      </c>
      <c r="M24" s="61">
        <f>J24+K24+L24</f>
        <v>208</v>
      </c>
      <c r="N24" s="102">
        <f>(E24+I24+M24)/9</f>
        <v>76.88888888888889</v>
      </c>
      <c r="O24" s="112">
        <f>RANK(N24,$N$23:$N$26)</f>
        <v>1</v>
      </c>
    </row>
    <row r="25" spans="1:15" ht="15.75">
      <c r="A25" s="91" t="s">
        <v>97</v>
      </c>
      <c r="B25" s="16">
        <v>81</v>
      </c>
      <c r="C25" s="17">
        <v>84</v>
      </c>
      <c r="D25" s="17">
        <v>85</v>
      </c>
      <c r="E25" s="61">
        <f>B25+C25+D25</f>
        <v>250</v>
      </c>
      <c r="F25" s="66">
        <v>77</v>
      </c>
      <c r="G25" s="17">
        <v>76</v>
      </c>
      <c r="H25" s="17">
        <v>73</v>
      </c>
      <c r="I25" s="61">
        <f>F25+G25+H25</f>
        <v>226</v>
      </c>
      <c r="J25" s="16">
        <v>74</v>
      </c>
      <c r="K25" s="17">
        <v>65</v>
      </c>
      <c r="L25" s="17">
        <v>70</v>
      </c>
      <c r="M25" s="61">
        <f>J25+K25+L25</f>
        <v>209</v>
      </c>
      <c r="N25" s="69">
        <f>(E25+I25+M25)/9</f>
        <v>76.11111111111111</v>
      </c>
      <c r="O25" s="20">
        <f>RANK(N25,$N$23:$N$26)</f>
        <v>2</v>
      </c>
    </row>
    <row r="26" spans="1:15" ht="16.5" thickBot="1">
      <c r="A26" s="93" t="s">
        <v>98</v>
      </c>
      <c r="B26" s="52">
        <v>83</v>
      </c>
      <c r="C26" s="53">
        <v>81</v>
      </c>
      <c r="D26" s="53">
        <v>83</v>
      </c>
      <c r="E26" s="62">
        <f>B26+C26+D26</f>
        <v>247</v>
      </c>
      <c r="F26" s="67">
        <v>81</v>
      </c>
      <c r="G26" s="53">
        <v>82</v>
      </c>
      <c r="H26" s="53">
        <v>82</v>
      </c>
      <c r="I26" s="62">
        <f>F26+G26+H26</f>
        <v>245</v>
      </c>
      <c r="J26" s="52">
        <f>SUM(J23:J25)/3</f>
        <v>69</v>
      </c>
      <c r="K26" s="53">
        <v>50</v>
      </c>
      <c r="L26" s="53">
        <f>SUM(L23:L25)/3</f>
        <v>67</v>
      </c>
      <c r="M26" s="62">
        <f>J26+K26+L26</f>
        <v>186</v>
      </c>
      <c r="N26" s="63">
        <f>(E26+I26+M26)/9</f>
        <v>75.33333333333333</v>
      </c>
      <c r="O26" s="56">
        <f>RANK(N26,$N$23:$N$26)</f>
        <v>3</v>
      </c>
    </row>
    <row r="28" spans="2:8" ht="15.75">
      <c r="B28" s="116"/>
      <c r="C28" s="116"/>
      <c r="D28" s="116"/>
      <c r="E28" s="122"/>
      <c r="F28" s="122"/>
      <c r="G28" s="122"/>
      <c r="H28" s="122"/>
    </row>
    <row r="29" spans="2:6" ht="15.75">
      <c r="B29" s="48"/>
      <c r="C29" s="48"/>
      <c r="D29" s="48"/>
      <c r="E29" s="49"/>
      <c r="F29" s="49"/>
    </row>
    <row r="30" spans="2:9" ht="15.75">
      <c r="B30" s="116"/>
      <c r="C30" s="116"/>
      <c r="D30" s="116"/>
      <c r="E30" s="116"/>
      <c r="F30" s="116"/>
      <c r="G30" s="116"/>
      <c r="H30" s="116"/>
      <c r="I30" s="116"/>
    </row>
    <row r="32" spans="2:8" ht="15.75">
      <c r="B32" s="116"/>
      <c r="C32" s="116"/>
      <c r="D32" s="116"/>
      <c r="E32" s="122"/>
      <c r="F32" s="122"/>
      <c r="G32" s="122"/>
      <c r="H32" s="122"/>
    </row>
    <row r="33" spans="2:6" ht="15.75">
      <c r="B33" s="48"/>
      <c r="C33" s="48"/>
      <c r="D33" s="48"/>
      <c r="E33" s="49"/>
      <c r="F33" s="49"/>
    </row>
    <row r="34" spans="2:9" ht="15.75">
      <c r="B34" s="116"/>
      <c r="C34" s="116"/>
      <c r="D34" s="116"/>
      <c r="E34" s="116"/>
      <c r="F34" s="116"/>
      <c r="G34" s="116"/>
      <c r="H34" s="116"/>
      <c r="I34" s="116"/>
    </row>
    <row r="36" spans="2:8" ht="15.75">
      <c r="B36" s="116"/>
      <c r="C36" s="116"/>
      <c r="D36" s="116"/>
      <c r="E36" s="122"/>
      <c r="F36" s="122"/>
      <c r="G36" s="122"/>
      <c r="H36" s="122"/>
    </row>
    <row r="37" spans="2:6" ht="15.75">
      <c r="B37" s="48"/>
      <c r="C37" s="48"/>
      <c r="D37" s="48"/>
      <c r="E37" s="49"/>
      <c r="F37" s="49"/>
    </row>
    <row r="38" spans="2:9" ht="15.75">
      <c r="B38" s="116"/>
      <c r="C38" s="116"/>
      <c r="D38" s="116"/>
      <c r="E38" s="116"/>
      <c r="F38" s="116"/>
      <c r="G38" s="116"/>
      <c r="H38" s="116"/>
      <c r="I38" s="116"/>
    </row>
    <row r="40" spans="2:8" ht="15.75">
      <c r="B40" s="116"/>
      <c r="C40" s="116"/>
      <c r="D40" s="116"/>
      <c r="E40" s="122"/>
      <c r="F40" s="122"/>
      <c r="G40" s="122"/>
      <c r="H40" s="122"/>
    </row>
    <row r="41" spans="2:6" ht="15.75">
      <c r="B41" s="48"/>
      <c r="C41" s="48"/>
      <c r="D41" s="48"/>
      <c r="E41" s="49"/>
      <c r="F41" s="49"/>
    </row>
    <row r="42" spans="2:9" ht="15.75">
      <c r="B42" s="116"/>
      <c r="C42" s="116"/>
      <c r="D42" s="116"/>
      <c r="E42" s="116"/>
      <c r="F42" s="116"/>
      <c r="G42" s="116"/>
      <c r="H42" s="116"/>
      <c r="I42" s="116"/>
    </row>
    <row r="44" spans="2:8" ht="15.75">
      <c r="B44" s="116"/>
      <c r="C44" s="116"/>
      <c r="D44" s="116"/>
      <c r="E44" s="122"/>
      <c r="F44" s="122"/>
      <c r="G44" s="122"/>
      <c r="H44" s="122"/>
    </row>
    <row r="45" spans="2:6" ht="15.75">
      <c r="B45" s="48"/>
      <c r="C45" s="48"/>
      <c r="D45" s="48"/>
      <c r="E45" s="49"/>
      <c r="F45" s="49"/>
    </row>
    <row r="46" spans="2:9" ht="15.75">
      <c r="B46" s="116"/>
      <c r="C46" s="116"/>
      <c r="D46" s="116"/>
      <c r="E46" s="116"/>
      <c r="F46" s="116"/>
      <c r="G46" s="116"/>
      <c r="H46" s="116"/>
      <c r="I46" s="116"/>
    </row>
    <row r="48" spans="2:8" ht="15.75" customHeight="1">
      <c r="B48" s="116"/>
      <c r="C48" s="116"/>
      <c r="D48" s="116"/>
      <c r="E48" s="122"/>
      <c r="F48" s="122"/>
      <c r="G48" s="122"/>
      <c r="H48" s="122"/>
    </row>
    <row r="49" spans="2:6" ht="15.75" customHeight="1">
      <c r="B49" s="48"/>
      <c r="C49" s="48"/>
      <c r="D49" s="48"/>
      <c r="E49" s="49"/>
      <c r="F49" s="49"/>
    </row>
    <row r="50" spans="2:9" ht="15.75">
      <c r="B50" s="116"/>
      <c r="C50" s="116"/>
      <c r="D50" s="116"/>
      <c r="E50" s="116"/>
      <c r="F50" s="116"/>
      <c r="G50" s="116"/>
      <c r="H50" s="116"/>
      <c r="I50" s="116"/>
    </row>
    <row r="52" ht="15.75">
      <c r="A52" s="27"/>
    </row>
    <row r="54" ht="15.75">
      <c r="A54" s="50"/>
    </row>
    <row r="55" ht="15.75">
      <c r="A55" s="50"/>
    </row>
    <row r="56" ht="15.75">
      <c r="A56" s="50"/>
    </row>
    <row r="57" ht="15.75">
      <c r="A57" s="50"/>
    </row>
    <row r="58" ht="15.75">
      <c r="A58" s="50"/>
    </row>
    <row r="59" ht="15.75">
      <c r="A59" s="50"/>
    </row>
    <row r="60" ht="15.75">
      <c r="A60" s="50"/>
    </row>
    <row r="61" ht="15.75">
      <c r="A61" s="50"/>
    </row>
    <row r="62" ht="15.75">
      <c r="A62" s="50"/>
    </row>
    <row r="63" ht="15.75">
      <c r="A63" s="50"/>
    </row>
    <row r="65" spans="1:9" ht="15.75">
      <c r="A65" s="121"/>
      <c r="B65" s="121"/>
      <c r="C65" s="121"/>
      <c r="D65" s="121"/>
      <c r="E65" s="121"/>
      <c r="F65" s="121"/>
      <c r="G65" s="121"/>
      <c r="H65" s="121"/>
      <c r="I65" s="121"/>
    </row>
    <row r="66" spans="1:9" ht="15.75">
      <c r="A66" s="47"/>
      <c r="B66" s="47"/>
      <c r="C66" s="47"/>
      <c r="D66" s="47"/>
      <c r="E66" s="47"/>
      <c r="F66" s="47"/>
      <c r="G66" s="47"/>
      <c r="H66" s="47"/>
      <c r="I66" s="47"/>
    </row>
    <row r="67" ht="15">
      <c r="A67" s="44"/>
    </row>
  </sheetData>
  <sheetProtection sheet="1" objects="1" scenarios="1" selectLockedCells="1"/>
  <mergeCells count="36">
    <mergeCell ref="F34:I34"/>
    <mergeCell ref="B22:O22"/>
    <mergeCell ref="B4:O4"/>
    <mergeCell ref="B9:O9"/>
    <mergeCell ref="B14:O14"/>
    <mergeCell ref="B18:O18"/>
    <mergeCell ref="B28:D28"/>
    <mergeCell ref="E28:H28"/>
    <mergeCell ref="E36:H36"/>
    <mergeCell ref="B38:E38"/>
    <mergeCell ref="F38:I38"/>
    <mergeCell ref="B40:D40"/>
    <mergeCell ref="E40:H40"/>
    <mergeCell ref="B30:E30"/>
    <mergeCell ref="F30:I30"/>
    <mergeCell ref="B32:D32"/>
    <mergeCell ref="E32:H32"/>
    <mergeCell ref="B34:E34"/>
    <mergeCell ref="A65:I65"/>
    <mergeCell ref="B44:D44"/>
    <mergeCell ref="E44:H44"/>
    <mergeCell ref="B46:E46"/>
    <mergeCell ref="F46:I46"/>
    <mergeCell ref="B48:D48"/>
    <mergeCell ref="E48:H48"/>
    <mergeCell ref="B50:F50"/>
    <mergeCell ref="G50:I50"/>
    <mergeCell ref="B1:E1"/>
    <mergeCell ref="F1:I1"/>
    <mergeCell ref="J1:M1"/>
    <mergeCell ref="B2:E2"/>
    <mergeCell ref="F2:I2"/>
    <mergeCell ref="J2:M2"/>
    <mergeCell ref="B42:E42"/>
    <mergeCell ref="F42:I42"/>
    <mergeCell ref="B36:D36"/>
  </mergeCells>
  <conditionalFormatting sqref="B14 B15:N17 B18 B19:N21 B10:N13 B22 F3:H3 B3:D3 J1:J2 B1 F1 A2:A26 N2:N3 J3:L3 O3 B4:B9 B23:N26 C5:N8">
    <cfRule type="cellIs" priority="1" dxfId="0" operator="equal" stopIfTrue="1">
      <formula>0</formula>
    </cfRule>
  </conditionalFormatting>
  <printOptions horizontalCentered="1" verticalCentered="1"/>
  <pageMargins left="0.25" right="0.25" top="1.25" bottom="0.5" header="0.25" footer="0.5"/>
  <pageSetup horizontalDpi="600" verticalDpi="600" orientation="landscape" r:id="rId1"/>
  <headerFooter alignWithMargins="0">
    <oddHeader>&amp;C&amp;"Arial,Bold"&amp;18Odessa Marching Invitational&amp;"Arial,Regular"&amp;10
&amp;"Arial,Italic"&amp;16Parade Competition&amp;"Arial,Regular"&amp;10
&amp;"Arial,Bold"&amp;12October 11,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0.00390625" style="94" bestFit="1" customWidth="1"/>
    <col min="2" max="3" width="9.28125" style="0" bestFit="1" customWidth="1"/>
    <col min="4" max="4" width="9.421875" style="0" bestFit="1" customWidth="1"/>
    <col min="5" max="5" width="9.28125" style="0" bestFit="1" customWidth="1"/>
  </cols>
  <sheetData>
    <row r="1" spans="1:7" ht="23.25">
      <c r="A1" s="129" t="s">
        <v>60</v>
      </c>
      <c r="B1" s="129"/>
      <c r="C1" s="129"/>
      <c r="D1" s="129"/>
      <c r="E1" s="129"/>
      <c r="F1" s="110"/>
      <c r="G1" s="110"/>
    </row>
    <row r="2" ht="13.5" thickBot="1"/>
    <row r="3" spans="1:7" ht="13.5" thickBot="1">
      <c r="A3" s="3"/>
      <c r="B3" s="130" t="s">
        <v>59</v>
      </c>
      <c r="C3" s="131"/>
      <c r="D3" s="131"/>
      <c r="E3" s="132"/>
      <c r="F3" s="105"/>
      <c r="G3" s="1"/>
    </row>
    <row r="4" spans="1:5" ht="13.5" thickBot="1">
      <c r="A4" s="8"/>
      <c r="B4" s="107" t="s">
        <v>4</v>
      </c>
      <c r="C4" s="108" t="s">
        <v>56</v>
      </c>
      <c r="D4" s="104" t="s">
        <v>12</v>
      </c>
      <c r="E4" s="109" t="s">
        <v>19</v>
      </c>
    </row>
    <row r="5" spans="1:5" ht="15.75" thickBot="1">
      <c r="A5" s="89" t="s">
        <v>58</v>
      </c>
      <c r="B5" s="126"/>
      <c r="C5" s="127"/>
      <c r="D5" s="127"/>
      <c r="E5" s="128"/>
    </row>
    <row r="6" spans="1:5" ht="15.75">
      <c r="A6" s="95" t="s">
        <v>39</v>
      </c>
      <c r="B6" s="76">
        <v>65</v>
      </c>
      <c r="C6" s="77">
        <v>67</v>
      </c>
      <c r="D6" s="78">
        <f>(B6+C6)</f>
        <v>132</v>
      </c>
      <c r="E6" s="79">
        <f>RANK(D6,$D$6:$D$8)</f>
        <v>3</v>
      </c>
    </row>
    <row r="7" spans="1:5" ht="15.75">
      <c r="A7" s="95" t="s">
        <v>111</v>
      </c>
      <c r="B7" s="76">
        <v>67</v>
      </c>
      <c r="C7" s="77">
        <v>68</v>
      </c>
      <c r="D7" s="78">
        <f>(B7+C7)</f>
        <v>135</v>
      </c>
      <c r="E7" s="79">
        <f>RANK(D7,$D$6:$D$8)</f>
        <v>2</v>
      </c>
    </row>
    <row r="8" spans="1:5" ht="16.5" thickBot="1">
      <c r="A8" s="96" t="s">
        <v>40</v>
      </c>
      <c r="B8" s="76">
        <v>78</v>
      </c>
      <c r="C8" s="77">
        <v>77</v>
      </c>
      <c r="D8" s="78">
        <f>(B8+C8)</f>
        <v>155</v>
      </c>
      <c r="E8" s="79">
        <f>RANK(D8,$D$6:$D$8)</f>
        <v>1</v>
      </c>
    </row>
    <row r="9" spans="1:5" ht="15.75" thickBot="1">
      <c r="A9" s="89" t="s">
        <v>101</v>
      </c>
      <c r="B9" s="126"/>
      <c r="C9" s="127"/>
      <c r="D9" s="127"/>
      <c r="E9" s="128"/>
    </row>
    <row r="10" spans="1:5" ht="15.75">
      <c r="A10" s="96" t="s">
        <v>85</v>
      </c>
      <c r="B10" s="76">
        <v>76</v>
      </c>
      <c r="C10" s="77">
        <v>74</v>
      </c>
      <c r="D10" s="78">
        <f>(B10+C10)</f>
        <v>150</v>
      </c>
      <c r="E10" s="79">
        <f>RANK(D10,$D$10:$D$13)</f>
        <v>1</v>
      </c>
    </row>
    <row r="11" spans="1:5" ht="15.75">
      <c r="A11" s="96" t="s">
        <v>86</v>
      </c>
      <c r="B11" s="76">
        <v>70</v>
      </c>
      <c r="C11" s="77">
        <v>70</v>
      </c>
      <c r="D11" s="78">
        <f>(B11+C11)</f>
        <v>140</v>
      </c>
      <c r="E11" s="79">
        <f>RANK(D11,$D$10:$D$13)</f>
        <v>2</v>
      </c>
    </row>
    <row r="12" spans="1:5" ht="15.75">
      <c r="A12" s="96" t="s">
        <v>84</v>
      </c>
      <c r="B12" s="76">
        <v>67</v>
      </c>
      <c r="C12" s="77">
        <v>65</v>
      </c>
      <c r="D12" s="78">
        <f>(B12+C12)</f>
        <v>132</v>
      </c>
      <c r="E12" s="79">
        <f>RANK(D12,$D$10:$D$13)</f>
        <v>4</v>
      </c>
    </row>
    <row r="13" spans="1:5" ht="16.5" thickBot="1">
      <c r="A13" s="97" t="s">
        <v>83</v>
      </c>
      <c r="B13" s="76">
        <v>69</v>
      </c>
      <c r="C13" s="77">
        <v>67</v>
      </c>
      <c r="D13" s="78">
        <f>(B13+C13)</f>
        <v>136</v>
      </c>
      <c r="E13" s="79">
        <f>RANK(D13,$D$10:$D$13)</f>
        <v>3</v>
      </c>
    </row>
    <row r="14" spans="1:5" ht="15.75" thickBot="1">
      <c r="A14" s="89" t="s">
        <v>57</v>
      </c>
      <c r="B14" s="126"/>
      <c r="C14" s="127"/>
      <c r="D14" s="127"/>
      <c r="E14" s="128"/>
    </row>
    <row r="15" spans="1:5" ht="15.75">
      <c r="A15" s="95" t="s">
        <v>102</v>
      </c>
      <c r="B15" s="76">
        <v>90</v>
      </c>
      <c r="C15" s="77">
        <v>85</v>
      </c>
      <c r="D15" s="78">
        <f>(B15+C15)</f>
        <v>175</v>
      </c>
      <c r="E15" s="79">
        <f>RANK(D15,$D$15:$D$17)</f>
        <v>1</v>
      </c>
    </row>
    <row r="16" spans="1:5" ht="15.75">
      <c r="A16" s="96" t="s">
        <v>94</v>
      </c>
      <c r="B16" s="76">
        <v>76</v>
      </c>
      <c r="C16" s="77">
        <v>79</v>
      </c>
      <c r="D16" s="78">
        <f>(B16+C16)</f>
        <v>155</v>
      </c>
      <c r="E16" s="79">
        <f>RANK(D16,$D$15:$D$17)</f>
        <v>3</v>
      </c>
    </row>
    <row r="17" spans="1:5" ht="16.5" thickBot="1">
      <c r="A17" s="98" t="s">
        <v>97</v>
      </c>
      <c r="B17" s="80">
        <v>82</v>
      </c>
      <c r="C17" s="81">
        <v>80</v>
      </c>
      <c r="D17" s="82">
        <f>(B17+C17)</f>
        <v>162</v>
      </c>
      <c r="E17" s="83">
        <f>RANK(D17,$D$15:$D$17)</f>
        <v>2</v>
      </c>
    </row>
    <row r="21" spans="1:7" ht="23.25">
      <c r="A21" s="129" t="s">
        <v>61</v>
      </c>
      <c r="B21" s="129"/>
      <c r="C21" s="129"/>
      <c r="D21" s="129"/>
      <c r="E21" s="129"/>
      <c r="F21" s="110"/>
      <c r="G21" s="110"/>
    </row>
    <row r="22" ht="13.5" thickBot="1"/>
    <row r="23" spans="1:7" ht="13.5" thickBot="1">
      <c r="A23" s="3"/>
      <c r="B23" s="130" t="s">
        <v>34</v>
      </c>
      <c r="C23" s="131"/>
      <c r="D23" s="131"/>
      <c r="E23" s="132"/>
      <c r="F23" s="105"/>
      <c r="G23" s="1"/>
    </row>
    <row r="24" spans="1:5" ht="13.5" thickBot="1">
      <c r="A24" s="8"/>
      <c r="B24" s="107" t="s">
        <v>4</v>
      </c>
      <c r="C24" s="108" t="s">
        <v>5</v>
      </c>
      <c r="D24" s="104" t="s">
        <v>12</v>
      </c>
      <c r="E24" s="109" t="s">
        <v>19</v>
      </c>
    </row>
    <row r="25" spans="1:5" ht="15.75" thickBot="1">
      <c r="A25" s="89" t="s">
        <v>58</v>
      </c>
      <c r="B25" s="126"/>
      <c r="C25" s="127"/>
      <c r="D25" s="127"/>
      <c r="E25" s="128"/>
    </row>
    <row r="26" spans="1:5" ht="15.75">
      <c r="A26" s="95" t="s">
        <v>83</v>
      </c>
      <c r="B26" s="76">
        <v>58</v>
      </c>
      <c r="C26" s="77">
        <v>55</v>
      </c>
      <c r="D26" s="78">
        <f>(B26+C26)</f>
        <v>113</v>
      </c>
      <c r="E26" s="79">
        <f>RANK(D26,$D$26:$D$29)</f>
        <v>3</v>
      </c>
    </row>
    <row r="27" spans="1:5" ht="15.75">
      <c r="A27" s="95" t="s">
        <v>81</v>
      </c>
      <c r="B27" s="76">
        <v>69</v>
      </c>
      <c r="C27" s="77">
        <v>68</v>
      </c>
      <c r="D27" s="78">
        <f aca="true" t="shared" si="0" ref="D27:D32">(B27+C27)</f>
        <v>137</v>
      </c>
      <c r="E27" s="79">
        <f>RANK(D27,$D$26:$D$29)</f>
        <v>2</v>
      </c>
    </row>
    <row r="28" spans="1:5" ht="15.75">
      <c r="A28" s="95" t="s">
        <v>85</v>
      </c>
      <c r="B28" s="76">
        <v>55</v>
      </c>
      <c r="C28" s="77">
        <v>52</v>
      </c>
      <c r="D28" s="78">
        <f t="shared" si="0"/>
        <v>107</v>
      </c>
      <c r="E28" s="79">
        <f>RANK(D28,$D$26:$D$29)</f>
        <v>4</v>
      </c>
    </row>
    <row r="29" spans="1:5" ht="16.5" thickBot="1">
      <c r="A29" s="95" t="s">
        <v>86</v>
      </c>
      <c r="B29" s="76">
        <v>71</v>
      </c>
      <c r="C29" s="77">
        <v>67</v>
      </c>
      <c r="D29" s="78">
        <f t="shared" si="0"/>
        <v>138</v>
      </c>
      <c r="E29" s="79">
        <f>RANK(D29,$D$26:$D$29)</f>
        <v>1</v>
      </c>
    </row>
    <row r="30" spans="1:5" ht="15.75" thickBot="1">
      <c r="A30" s="89" t="s">
        <v>101</v>
      </c>
      <c r="B30" s="126"/>
      <c r="C30" s="127"/>
      <c r="D30" s="127"/>
      <c r="E30" s="128"/>
    </row>
    <row r="31" spans="1:5" ht="15.75">
      <c r="A31" s="95" t="s">
        <v>89</v>
      </c>
      <c r="B31" s="76">
        <v>61</v>
      </c>
      <c r="C31" s="77">
        <v>58</v>
      </c>
      <c r="D31" s="78">
        <f t="shared" si="0"/>
        <v>119</v>
      </c>
      <c r="E31" s="79">
        <f>RANK(D31,$D$31:$D$32)</f>
        <v>2</v>
      </c>
    </row>
    <row r="32" spans="1:5" ht="16.5" thickBot="1">
      <c r="A32" s="96" t="s">
        <v>87</v>
      </c>
      <c r="B32" s="76">
        <v>75</v>
      </c>
      <c r="C32" s="77">
        <v>74</v>
      </c>
      <c r="D32" s="78">
        <f t="shared" si="0"/>
        <v>149</v>
      </c>
      <c r="E32" s="79">
        <f>RANK(D32,$D$31:$D$32)</f>
        <v>1</v>
      </c>
    </row>
    <row r="33" spans="1:5" ht="15.75" thickBot="1">
      <c r="A33" s="89" t="s">
        <v>57</v>
      </c>
      <c r="B33" s="126"/>
      <c r="C33" s="127"/>
      <c r="D33" s="127"/>
      <c r="E33" s="128"/>
    </row>
    <row r="34" spans="1:5" ht="15.75">
      <c r="A34" s="95" t="s">
        <v>92</v>
      </c>
      <c r="B34" s="76">
        <v>80</v>
      </c>
      <c r="C34" s="77">
        <v>79</v>
      </c>
      <c r="D34" s="78">
        <f>(B34+C34)</f>
        <v>159</v>
      </c>
      <c r="E34" s="79">
        <f>RANK(D34,$D$34:$D$36)</f>
        <v>2</v>
      </c>
    </row>
    <row r="35" spans="1:5" ht="15.75">
      <c r="A35" s="96" t="s">
        <v>97</v>
      </c>
      <c r="B35" s="76">
        <v>67</v>
      </c>
      <c r="C35" s="77">
        <v>65</v>
      </c>
      <c r="D35" s="78">
        <f>(B35+C35)</f>
        <v>132</v>
      </c>
      <c r="E35" s="79">
        <f>RANK(D35,$D$34:$D$36)</f>
        <v>3</v>
      </c>
    </row>
    <row r="36" spans="1:5" ht="16.5" thickBot="1">
      <c r="A36" s="98" t="s">
        <v>94</v>
      </c>
      <c r="B36" s="80">
        <v>83</v>
      </c>
      <c r="C36" s="81">
        <v>81</v>
      </c>
      <c r="D36" s="82">
        <f>(B36+C36)</f>
        <v>164</v>
      </c>
      <c r="E36" s="83">
        <f>RANK(D36,$D$34:$D$36)</f>
        <v>1</v>
      </c>
    </row>
  </sheetData>
  <sheetProtection selectLockedCells="1"/>
  <mergeCells count="10">
    <mergeCell ref="A1:E1"/>
    <mergeCell ref="B14:E14"/>
    <mergeCell ref="B25:E25"/>
    <mergeCell ref="B33:E33"/>
    <mergeCell ref="B30:E30"/>
    <mergeCell ref="A21:E21"/>
    <mergeCell ref="B23:E23"/>
    <mergeCell ref="B3:E3"/>
    <mergeCell ref="B5:E5"/>
    <mergeCell ref="B9:E9"/>
  </mergeCells>
  <conditionalFormatting sqref="A34:D36 C31:D32 F23 C24:E24 A9:B9 B15:D17 A10 B14 A12:A17 B10:D13 A8:D8 C26:D29 A23:B33 B3:B5 A3:A7 B6:D7 F3 C4:E4">
    <cfRule type="cellIs" priority="1" dxfId="0" operator="equal" stopIfTrue="1">
      <formula>0</formula>
    </cfRule>
  </conditionalFormatting>
  <printOptions horizontalCentered="1"/>
  <pageMargins left="0.5" right="0.5" top="1.5" bottom="0.5" header="0.25" footer="0.5"/>
  <pageSetup horizontalDpi="600" verticalDpi="600" orientation="portrait" r:id="rId1"/>
  <headerFooter alignWithMargins="0">
    <oddHeader>&amp;C&amp;"Arial,Bold"&amp;18Odessa Marching Invitational&amp;22&amp;U
&amp;"Arial,Italic"&amp;16&amp;UIndoor Percussion  and Auxiliary&amp;" Auxiliary&amp;,Italic"&amp;22&amp;U
&amp;" Auxiliary&amp;,Bold"&amp;12&amp;UOctober 11,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="87" zoomScaleNormal="87" zoomScalePageLayoutView="0" workbookViewId="0" topLeftCell="A1">
      <selection activeCell="B27" sqref="B27"/>
    </sheetView>
  </sheetViews>
  <sheetFormatPr defaultColWidth="4.7109375" defaultRowHeight="12.75"/>
  <cols>
    <col min="1" max="1" width="30.00390625" style="1" bestFit="1" customWidth="1"/>
    <col min="2" max="3" width="4.7109375" style="1" customWidth="1"/>
    <col min="4" max="4" width="6.7109375" style="1" customWidth="1"/>
    <col min="5" max="5" width="4.7109375" style="1" customWidth="1"/>
    <col min="6" max="6" width="4.140625" style="1" bestFit="1" customWidth="1"/>
    <col min="7" max="7" width="5.28125" style="1" bestFit="1" customWidth="1"/>
    <col min="8" max="8" width="6.7109375" style="1" customWidth="1"/>
    <col min="9" max="9" width="6.421875" style="1" bestFit="1" customWidth="1"/>
    <col min="10" max="10" width="4.7109375" style="1" customWidth="1"/>
    <col min="11" max="11" width="6.7109375" style="1" customWidth="1"/>
    <col min="12" max="12" width="5.7109375" style="1" customWidth="1"/>
    <col min="13" max="13" width="4.7109375" style="1" customWidth="1"/>
    <col min="14" max="15" width="6.7109375" style="1" customWidth="1"/>
    <col min="16" max="16" width="6.421875" style="1" bestFit="1" customWidth="1"/>
    <col min="17" max="17" width="4.7109375" style="1" customWidth="1"/>
    <col min="18" max="18" width="6.7109375" style="1" customWidth="1"/>
    <col min="19" max="19" width="6.421875" style="1" bestFit="1" customWidth="1"/>
    <col min="20" max="20" width="4.7109375" style="1" customWidth="1"/>
    <col min="21" max="22" width="6.7109375" style="1" customWidth="1"/>
    <col min="23" max="23" width="5.28125" style="1" bestFit="1" customWidth="1"/>
    <col min="24" max="24" width="4.7109375" style="1" customWidth="1"/>
    <col min="25" max="25" width="6.7109375" style="1" customWidth="1"/>
    <col min="26" max="26" width="5.28125" style="1" bestFit="1" customWidth="1"/>
    <col min="27" max="27" width="4.7109375" style="1" customWidth="1"/>
    <col min="28" max="29" width="6.7109375" style="1" customWidth="1"/>
    <col min="30" max="30" width="7.8515625" style="1" bestFit="1" customWidth="1"/>
    <col min="31" max="31" width="4.7109375" style="1" customWidth="1"/>
    <col min="32" max="32" width="8.00390625" style="1" bestFit="1" customWidth="1"/>
    <col min="33" max="36" width="2.28125" style="1" bestFit="1" customWidth="1"/>
    <col min="37" max="37" width="7.421875" style="1" bestFit="1" customWidth="1"/>
    <col min="38" max="38" width="5.8515625" style="1" bestFit="1" customWidth="1"/>
    <col min="39" max="16384" width="4.7109375" style="1" customWidth="1"/>
  </cols>
  <sheetData>
    <row r="1" spans="1:29" ht="12.75" customHeight="1" thickBot="1">
      <c r="A1" s="3"/>
      <c r="B1" s="139" t="s">
        <v>0</v>
      </c>
      <c r="C1" s="140"/>
      <c r="D1" s="141"/>
      <c r="E1" s="147" t="s">
        <v>2</v>
      </c>
      <c r="F1" s="140"/>
      <c r="G1" s="148"/>
      <c r="H1" s="39"/>
      <c r="I1" s="139" t="s">
        <v>3</v>
      </c>
      <c r="J1" s="140"/>
      <c r="K1" s="141"/>
      <c r="L1" s="147" t="s">
        <v>13</v>
      </c>
      <c r="M1" s="140"/>
      <c r="N1" s="148"/>
      <c r="O1" s="39"/>
      <c r="P1" s="139" t="s">
        <v>6</v>
      </c>
      <c r="Q1" s="140"/>
      <c r="R1" s="141"/>
      <c r="S1" s="140" t="s">
        <v>14</v>
      </c>
      <c r="T1" s="140"/>
      <c r="U1" s="148"/>
      <c r="V1" s="39"/>
      <c r="W1" s="139" t="s">
        <v>7</v>
      </c>
      <c r="X1" s="140"/>
      <c r="Y1" s="141"/>
      <c r="Z1" s="137" t="s">
        <v>9</v>
      </c>
      <c r="AA1" s="137"/>
      <c r="AB1" s="138"/>
      <c r="AC1" s="4"/>
    </row>
    <row r="2" spans="1:29" ht="13.5" thickBot="1">
      <c r="A2" s="3"/>
      <c r="B2" s="142" t="s">
        <v>103</v>
      </c>
      <c r="C2" s="134"/>
      <c r="D2" s="135"/>
      <c r="E2" s="133" t="s">
        <v>104</v>
      </c>
      <c r="F2" s="134"/>
      <c r="G2" s="135"/>
      <c r="H2" s="4" t="s">
        <v>11</v>
      </c>
      <c r="I2" s="133" t="s">
        <v>100</v>
      </c>
      <c r="J2" s="134"/>
      <c r="K2" s="135"/>
      <c r="L2" s="133" t="s">
        <v>99</v>
      </c>
      <c r="M2" s="134"/>
      <c r="N2" s="135"/>
      <c r="O2" s="2" t="s">
        <v>17</v>
      </c>
      <c r="P2" s="133" t="s">
        <v>105</v>
      </c>
      <c r="Q2" s="134"/>
      <c r="R2" s="135"/>
      <c r="S2" s="133" t="s">
        <v>33</v>
      </c>
      <c r="T2" s="134"/>
      <c r="U2" s="135"/>
      <c r="V2" s="4" t="s">
        <v>18</v>
      </c>
      <c r="W2" s="133" t="s">
        <v>106</v>
      </c>
      <c r="X2" s="134"/>
      <c r="Y2" s="135"/>
      <c r="Z2" s="143" t="s">
        <v>107</v>
      </c>
      <c r="AA2" s="143"/>
      <c r="AB2" s="144"/>
      <c r="AC2" s="35"/>
    </row>
    <row r="3" spans="1:30" ht="13.5" thickBot="1">
      <c r="A3" s="8"/>
      <c r="B3" s="10" t="s">
        <v>8</v>
      </c>
      <c r="C3" s="11" t="s">
        <v>10</v>
      </c>
      <c r="D3" s="11" t="s">
        <v>1</v>
      </c>
      <c r="E3" s="10" t="s">
        <v>8</v>
      </c>
      <c r="F3" s="11" t="s">
        <v>10</v>
      </c>
      <c r="G3" s="11" t="s">
        <v>1</v>
      </c>
      <c r="H3" s="11" t="s">
        <v>1</v>
      </c>
      <c r="I3" s="10" t="s">
        <v>15</v>
      </c>
      <c r="J3" s="11" t="s">
        <v>16</v>
      </c>
      <c r="K3" s="11" t="s">
        <v>1</v>
      </c>
      <c r="L3" s="10" t="s">
        <v>15</v>
      </c>
      <c r="M3" s="12" t="s">
        <v>16</v>
      </c>
      <c r="N3" s="11" t="s">
        <v>1</v>
      </c>
      <c r="O3" s="10" t="s">
        <v>1</v>
      </c>
      <c r="P3" s="10" t="s">
        <v>4</v>
      </c>
      <c r="Q3" s="13" t="s">
        <v>5</v>
      </c>
      <c r="R3" s="11" t="s">
        <v>1</v>
      </c>
      <c r="S3" s="10" t="s">
        <v>15</v>
      </c>
      <c r="T3" s="12" t="s">
        <v>5</v>
      </c>
      <c r="U3" s="11" t="s">
        <v>1</v>
      </c>
      <c r="V3" s="10" t="s">
        <v>1</v>
      </c>
      <c r="W3" s="10" t="s">
        <v>15</v>
      </c>
      <c r="X3" s="11" t="s">
        <v>16</v>
      </c>
      <c r="Y3" s="11" t="s">
        <v>1</v>
      </c>
      <c r="Z3" s="10" t="s">
        <v>21</v>
      </c>
      <c r="AA3" s="11" t="s">
        <v>5</v>
      </c>
      <c r="AB3" s="13" t="s">
        <v>1</v>
      </c>
      <c r="AC3" s="14" t="s">
        <v>12</v>
      </c>
      <c r="AD3" s="9" t="s">
        <v>19</v>
      </c>
    </row>
    <row r="4" spans="1:30" ht="15.75" thickBot="1">
      <c r="A4" s="84" t="s">
        <v>38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</row>
    <row r="5" spans="1:36" ht="15.75">
      <c r="A5" s="37" t="s">
        <v>52</v>
      </c>
      <c r="B5" s="16">
        <v>56</v>
      </c>
      <c r="C5" s="17">
        <v>53</v>
      </c>
      <c r="D5" s="18">
        <f>B5+C5</f>
        <v>109</v>
      </c>
      <c r="E5" s="17">
        <v>55</v>
      </c>
      <c r="F5" s="17">
        <v>52</v>
      </c>
      <c r="G5" s="18">
        <f>E5+F5</f>
        <v>107</v>
      </c>
      <c r="H5" s="18">
        <f>D5+G5</f>
        <v>216</v>
      </c>
      <c r="I5" s="17">
        <v>50</v>
      </c>
      <c r="J5" s="17">
        <v>48</v>
      </c>
      <c r="K5" s="18">
        <f>I5+J5</f>
        <v>98</v>
      </c>
      <c r="L5" s="17">
        <v>49</v>
      </c>
      <c r="M5" s="17">
        <v>51</v>
      </c>
      <c r="N5" s="18">
        <f>L5+M5</f>
        <v>100</v>
      </c>
      <c r="O5" s="15">
        <f>K5+N5</f>
        <v>198</v>
      </c>
      <c r="P5" s="17">
        <v>52</v>
      </c>
      <c r="Q5" s="17">
        <v>51</v>
      </c>
      <c r="R5" s="18">
        <f>P5+Q5</f>
        <v>103</v>
      </c>
      <c r="S5" s="17">
        <v>49</v>
      </c>
      <c r="T5" s="17">
        <v>51</v>
      </c>
      <c r="U5" s="18">
        <f>S5+T5</f>
        <v>100</v>
      </c>
      <c r="V5" s="15">
        <f>R5+U5</f>
        <v>203</v>
      </c>
      <c r="W5" s="17">
        <v>42</v>
      </c>
      <c r="X5" s="17">
        <v>39</v>
      </c>
      <c r="Y5" s="18">
        <f>W5+X5</f>
        <v>81</v>
      </c>
      <c r="Z5" s="17">
        <v>63</v>
      </c>
      <c r="AA5" s="17">
        <v>60</v>
      </c>
      <c r="AB5" s="18">
        <f>Z5+AA5</f>
        <v>123</v>
      </c>
      <c r="AC5" s="34">
        <f>(H5+K5+(N5+Y5)/2+(V5+AB5)/3)/10</f>
        <v>51.31666666666666</v>
      </c>
      <c r="AD5" s="20">
        <f>RANK(AC5,$AC$5:$AC$8)</f>
        <v>3</v>
      </c>
      <c r="AG5" s="72">
        <f>RANK(Y5,Y$5:Y$26)</f>
        <v>15</v>
      </c>
      <c r="AH5" s="73">
        <f>G5+O5</f>
        <v>305</v>
      </c>
      <c r="AI5" s="72">
        <f aca="true" t="shared" si="0" ref="AI5:AI26">RANK(AH5,AH$5:AH$26)</f>
        <v>17</v>
      </c>
      <c r="AJ5" s="72">
        <f>RANK(AB5,AB$5:AB$26)</f>
        <v>10</v>
      </c>
    </row>
    <row r="6" spans="1:36" ht="15.75">
      <c r="A6" s="106" t="s">
        <v>108</v>
      </c>
      <c r="B6" s="16">
        <v>58</v>
      </c>
      <c r="C6" s="17">
        <v>50</v>
      </c>
      <c r="D6" s="18">
        <f>B6+C6</f>
        <v>108</v>
      </c>
      <c r="E6" s="17">
        <v>50</v>
      </c>
      <c r="F6" s="17">
        <v>48</v>
      </c>
      <c r="G6" s="18">
        <f>E6+F6</f>
        <v>98</v>
      </c>
      <c r="H6" s="18">
        <f>D6+G6</f>
        <v>206</v>
      </c>
      <c r="I6" s="17">
        <v>48</v>
      </c>
      <c r="J6" s="17">
        <v>46</v>
      </c>
      <c r="K6" s="18">
        <f>I6+J6</f>
        <v>94</v>
      </c>
      <c r="L6" s="17">
        <v>51</v>
      </c>
      <c r="M6" s="17">
        <v>50</v>
      </c>
      <c r="N6" s="18">
        <f>L6+M6</f>
        <v>101</v>
      </c>
      <c r="O6" s="15">
        <f>K6+N6</f>
        <v>195</v>
      </c>
      <c r="P6" s="17">
        <v>54</v>
      </c>
      <c r="Q6" s="17">
        <v>52</v>
      </c>
      <c r="R6" s="18">
        <f>P6+Q6</f>
        <v>106</v>
      </c>
      <c r="S6" s="17">
        <v>51</v>
      </c>
      <c r="T6" s="17">
        <v>52</v>
      </c>
      <c r="U6" s="18">
        <f>S6+T6</f>
        <v>103</v>
      </c>
      <c r="V6" s="15">
        <f>R6+U6</f>
        <v>209</v>
      </c>
      <c r="W6" s="17">
        <v>41</v>
      </c>
      <c r="X6" s="17">
        <v>38</v>
      </c>
      <c r="Y6" s="18">
        <f>W6+X6</f>
        <v>79</v>
      </c>
      <c r="Z6" s="17">
        <v>54</v>
      </c>
      <c r="AA6" s="17">
        <v>52</v>
      </c>
      <c r="AB6" s="18">
        <f>Z6+AA6</f>
        <v>106</v>
      </c>
      <c r="AC6" s="34">
        <f>(H6+K6+(N6+Y6)/2+(V6+AB6)/3)/10</f>
        <v>49.5</v>
      </c>
      <c r="AD6" s="20">
        <f>RANK(AC6,$AC$5:$AC$8)</f>
        <v>4</v>
      </c>
      <c r="AG6" s="72">
        <f aca="true" t="shared" si="1" ref="AG6:AG26">RANK(Y6,Y$5:Y$26)</f>
        <v>16</v>
      </c>
      <c r="AH6" s="73">
        <f aca="true" t="shared" si="2" ref="AH6:AH26">G6+O6</f>
        <v>293</v>
      </c>
      <c r="AI6" s="72">
        <f t="shared" si="0"/>
        <v>18</v>
      </c>
      <c r="AJ6" s="72">
        <f aca="true" t="shared" si="3" ref="AJ6:AJ26">RANK(AB6,AB$5:AB$26)</f>
        <v>18</v>
      </c>
    </row>
    <row r="7" spans="1:36" ht="15.75">
      <c r="A7" s="106" t="s">
        <v>35</v>
      </c>
      <c r="B7" s="16">
        <v>64</v>
      </c>
      <c r="C7" s="17">
        <v>62</v>
      </c>
      <c r="D7" s="18">
        <f>B7+C7</f>
        <v>126</v>
      </c>
      <c r="E7" s="17">
        <v>67</v>
      </c>
      <c r="F7" s="17">
        <v>66</v>
      </c>
      <c r="G7" s="18">
        <f>E7+F7</f>
        <v>133</v>
      </c>
      <c r="H7" s="18">
        <f>D7+G7</f>
        <v>259</v>
      </c>
      <c r="I7" s="17">
        <v>65</v>
      </c>
      <c r="J7" s="17">
        <v>60</v>
      </c>
      <c r="K7" s="18">
        <f>I7+J7</f>
        <v>125</v>
      </c>
      <c r="L7" s="17">
        <v>64</v>
      </c>
      <c r="M7" s="17">
        <v>65</v>
      </c>
      <c r="N7" s="18">
        <f>L7+M7</f>
        <v>129</v>
      </c>
      <c r="O7" s="15">
        <f>K7+N7</f>
        <v>254</v>
      </c>
      <c r="P7" s="17">
        <v>65</v>
      </c>
      <c r="Q7" s="17">
        <v>62</v>
      </c>
      <c r="R7" s="18">
        <f>P7+Q7</f>
        <v>127</v>
      </c>
      <c r="S7" s="17">
        <v>63</v>
      </c>
      <c r="T7" s="17">
        <v>60</v>
      </c>
      <c r="U7" s="18">
        <f>S7+T7</f>
        <v>123</v>
      </c>
      <c r="V7" s="15">
        <f>R7+U7</f>
        <v>250</v>
      </c>
      <c r="W7" s="17">
        <v>51</v>
      </c>
      <c r="X7" s="17">
        <v>52</v>
      </c>
      <c r="Y7" s="18">
        <f>W7+X7</f>
        <v>103</v>
      </c>
      <c r="Z7" s="17">
        <v>61</v>
      </c>
      <c r="AA7" s="17">
        <v>57</v>
      </c>
      <c r="AB7" s="18">
        <f>Z7+AA7</f>
        <v>118</v>
      </c>
      <c r="AC7" s="34">
        <f>(H7+K7+(N7+Y7)/2+(V7+AB7)/3)/10</f>
        <v>62.266666666666666</v>
      </c>
      <c r="AD7" s="20">
        <f>RANK(AC7,$AC$5:$AC$8)</f>
        <v>1</v>
      </c>
      <c r="AG7" s="72">
        <f t="shared" si="1"/>
        <v>13</v>
      </c>
      <c r="AH7" s="73">
        <f t="shared" si="2"/>
        <v>387</v>
      </c>
      <c r="AI7" s="72">
        <f t="shared" si="0"/>
        <v>10</v>
      </c>
      <c r="AJ7" s="72">
        <f t="shared" si="3"/>
        <v>11</v>
      </c>
    </row>
    <row r="8" spans="1:36" ht="16.5" thickBot="1">
      <c r="A8" s="36" t="s">
        <v>36</v>
      </c>
      <c r="B8" s="16">
        <v>62</v>
      </c>
      <c r="C8" s="17">
        <v>59</v>
      </c>
      <c r="D8" s="18">
        <f>B8+C8</f>
        <v>121</v>
      </c>
      <c r="E8" s="17">
        <v>62</v>
      </c>
      <c r="F8" s="17">
        <v>58</v>
      </c>
      <c r="G8" s="18">
        <f>E8+F8</f>
        <v>120</v>
      </c>
      <c r="H8" s="18">
        <f>D8+G8</f>
        <v>241</v>
      </c>
      <c r="I8" s="17">
        <v>60</v>
      </c>
      <c r="J8" s="17">
        <v>55</v>
      </c>
      <c r="K8" s="18">
        <f>I8+J8</f>
        <v>115</v>
      </c>
      <c r="L8" s="17">
        <v>60</v>
      </c>
      <c r="M8" s="17">
        <v>63</v>
      </c>
      <c r="N8" s="18">
        <f>L8+M8</f>
        <v>123</v>
      </c>
      <c r="O8" s="15">
        <f>K8+N8</f>
        <v>238</v>
      </c>
      <c r="P8" s="17">
        <v>58</v>
      </c>
      <c r="Q8" s="17">
        <v>56</v>
      </c>
      <c r="R8" s="18">
        <f>P8+Q8</f>
        <v>114</v>
      </c>
      <c r="S8" s="17">
        <v>63</v>
      </c>
      <c r="T8" s="17">
        <v>60</v>
      </c>
      <c r="U8" s="18">
        <f>S8+T8</f>
        <v>123</v>
      </c>
      <c r="V8" s="15">
        <f>R8+U8</f>
        <v>237</v>
      </c>
      <c r="W8" s="17">
        <v>41</v>
      </c>
      <c r="X8" s="17">
        <v>37</v>
      </c>
      <c r="Y8" s="18">
        <f>W8+X8</f>
        <v>78</v>
      </c>
      <c r="Z8" s="17">
        <v>55</v>
      </c>
      <c r="AA8" s="17">
        <v>56</v>
      </c>
      <c r="AB8" s="18">
        <f>Z8+AA8</f>
        <v>111</v>
      </c>
      <c r="AC8" s="34">
        <f>(H8+K8+(N8+Y8)/2+(V8+AB8)/3)/10</f>
        <v>57.25</v>
      </c>
      <c r="AD8" s="20">
        <f>RANK(AC8,$AC$5:$AC$8)</f>
        <v>2</v>
      </c>
      <c r="AG8" s="72">
        <f t="shared" si="1"/>
        <v>18</v>
      </c>
      <c r="AH8" s="73">
        <f t="shared" si="2"/>
        <v>358</v>
      </c>
      <c r="AI8" s="72">
        <f t="shared" si="0"/>
        <v>14</v>
      </c>
      <c r="AJ8" s="72">
        <f t="shared" si="3"/>
        <v>14</v>
      </c>
    </row>
    <row r="9" spans="1:36" ht="15.75" thickBot="1">
      <c r="A9" s="84" t="s">
        <v>37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5"/>
      <c r="AG9" s="72" t="e">
        <f t="shared" si="1"/>
        <v>#N/A</v>
      </c>
      <c r="AH9" s="73">
        <f t="shared" si="2"/>
        <v>0</v>
      </c>
      <c r="AI9" s="72">
        <f t="shared" si="0"/>
        <v>19</v>
      </c>
      <c r="AJ9" s="72" t="e">
        <f t="shared" si="3"/>
        <v>#N/A</v>
      </c>
    </row>
    <row r="10" spans="1:36" ht="15.75">
      <c r="A10" s="36" t="s">
        <v>109</v>
      </c>
      <c r="B10" s="16">
        <v>75</v>
      </c>
      <c r="C10" s="17">
        <v>71</v>
      </c>
      <c r="D10" s="18">
        <f>B10+C10</f>
        <v>146</v>
      </c>
      <c r="E10" s="17">
        <v>78</v>
      </c>
      <c r="F10" s="17">
        <v>76</v>
      </c>
      <c r="G10" s="18">
        <f>E10+F10</f>
        <v>154</v>
      </c>
      <c r="H10" s="18">
        <f>D10+G10</f>
        <v>300</v>
      </c>
      <c r="I10" s="17">
        <v>75</v>
      </c>
      <c r="J10" s="17">
        <v>74</v>
      </c>
      <c r="K10" s="18">
        <f>I10+J10</f>
        <v>149</v>
      </c>
      <c r="L10" s="17">
        <v>67</v>
      </c>
      <c r="M10" s="17">
        <v>68</v>
      </c>
      <c r="N10" s="18">
        <f>L10+M10</f>
        <v>135</v>
      </c>
      <c r="O10" s="15">
        <f>K10+N10</f>
        <v>284</v>
      </c>
      <c r="P10" s="17">
        <v>79</v>
      </c>
      <c r="Q10" s="17">
        <v>78</v>
      </c>
      <c r="R10" s="18">
        <f>P10+Q10</f>
        <v>157</v>
      </c>
      <c r="S10" s="17">
        <v>70</v>
      </c>
      <c r="T10" s="17">
        <v>65</v>
      </c>
      <c r="U10" s="18">
        <f>S10+T10</f>
        <v>135</v>
      </c>
      <c r="V10" s="15">
        <f>R10+U10</f>
        <v>292</v>
      </c>
      <c r="W10" s="17">
        <v>64</v>
      </c>
      <c r="X10" s="17">
        <v>66</v>
      </c>
      <c r="Y10" s="18">
        <f>W10+X10</f>
        <v>130</v>
      </c>
      <c r="Z10" s="17">
        <v>64</v>
      </c>
      <c r="AA10" s="17">
        <v>62</v>
      </c>
      <c r="AB10" s="18">
        <f>Z10+AA10</f>
        <v>126</v>
      </c>
      <c r="AC10" s="34">
        <f>(H10+K10+(N10+Y10)/2+(V10+AB10)/3)/10</f>
        <v>72.08333333333334</v>
      </c>
      <c r="AD10" s="20">
        <f>RANK(AC10,$AC$10:$AC$13)</f>
        <v>1</v>
      </c>
      <c r="AG10" s="72">
        <f t="shared" si="1"/>
        <v>6</v>
      </c>
      <c r="AH10" s="73">
        <f t="shared" si="2"/>
        <v>438</v>
      </c>
      <c r="AI10" s="72">
        <f t="shared" si="0"/>
        <v>3</v>
      </c>
      <c r="AJ10" s="72">
        <f t="shared" si="3"/>
        <v>9</v>
      </c>
    </row>
    <row r="11" spans="1:36" ht="15.75">
      <c r="A11" s="36" t="s">
        <v>110</v>
      </c>
      <c r="B11" s="16">
        <v>68</v>
      </c>
      <c r="C11" s="17">
        <v>65</v>
      </c>
      <c r="D11" s="18">
        <f>B11+C11</f>
        <v>133</v>
      </c>
      <c r="E11" s="17">
        <v>56</v>
      </c>
      <c r="F11" s="17">
        <v>55</v>
      </c>
      <c r="G11" s="18">
        <f>E11+F11</f>
        <v>111</v>
      </c>
      <c r="H11" s="18">
        <f>D11+G11</f>
        <v>244</v>
      </c>
      <c r="I11" s="17">
        <v>61</v>
      </c>
      <c r="J11" s="17">
        <v>59</v>
      </c>
      <c r="K11" s="18">
        <f>I11+J11</f>
        <v>120</v>
      </c>
      <c r="L11" s="17">
        <v>63</v>
      </c>
      <c r="M11" s="17">
        <v>65</v>
      </c>
      <c r="N11" s="18">
        <f>L11+M11</f>
        <v>128</v>
      </c>
      <c r="O11" s="15">
        <f>K11+N11</f>
        <v>248</v>
      </c>
      <c r="P11" s="17">
        <v>60</v>
      </c>
      <c r="Q11" s="17">
        <v>59</v>
      </c>
      <c r="R11" s="18">
        <f>P11+Q11</f>
        <v>119</v>
      </c>
      <c r="S11" s="17">
        <v>63</v>
      </c>
      <c r="T11" s="17">
        <v>63</v>
      </c>
      <c r="U11" s="18">
        <f>S11+T11</f>
        <v>126</v>
      </c>
      <c r="V11" s="15">
        <f>R11+U11</f>
        <v>245</v>
      </c>
      <c r="W11" s="17">
        <v>61</v>
      </c>
      <c r="X11" s="17">
        <v>65</v>
      </c>
      <c r="Y11" s="18">
        <f>W11+X11</f>
        <v>126</v>
      </c>
      <c r="Z11" s="17">
        <v>56</v>
      </c>
      <c r="AA11" s="17">
        <v>53</v>
      </c>
      <c r="AB11" s="18">
        <f>Z11+AA11</f>
        <v>109</v>
      </c>
      <c r="AC11" s="34">
        <f>(H11+K11+(N11+Y11)/2+(V11+AB11)/3)/10</f>
        <v>60.9</v>
      </c>
      <c r="AD11" s="20">
        <f>RANK(AC11,$AC$10:$AC$13)</f>
        <v>4</v>
      </c>
      <c r="AG11" s="72">
        <f t="shared" si="1"/>
        <v>10</v>
      </c>
      <c r="AH11" s="73">
        <f t="shared" si="2"/>
        <v>359</v>
      </c>
      <c r="AI11" s="72">
        <f t="shared" si="0"/>
        <v>13</v>
      </c>
      <c r="AJ11" s="72">
        <f t="shared" si="3"/>
        <v>15</v>
      </c>
    </row>
    <row r="12" spans="1:36" ht="15.75">
      <c r="A12" s="36" t="s">
        <v>111</v>
      </c>
      <c r="B12" s="16">
        <v>66</v>
      </c>
      <c r="C12" s="17">
        <v>64</v>
      </c>
      <c r="D12" s="18">
        <f>B12+C12</f>
        <v>130</v>
      </c>
      <c r="E12" s="17">
        <v>76</v>
      </c>
      <c r="F12" s="17">
        <v>75</v>
      </c>
      <c r="G12" s="18">
        <f>E12+F12</f>
        <v>151</v>
      </c>
      <c r="H12" s="18">
        <f>D12+G12</f>
        <v>281</v>
      </c>
      <c r="I12" s="17">
        <v>77</v>
      </c>
      <c r="J12" s="17">
        <v>72</v>
      </c>
      <c r="K12" s="18">
        <f>I12+J12</f>
        <v>149</v>
      </c>
      <c r="L12" s="17">
        <v>66</v>
      </c>
      <c r="M12" s="17">
        <v>66</v>
      </c>
      <c r="N12" s="18">
        <f>L12+M12</f>
        <v>132</v>
      </c>
      <c r="O12" s="15">
        <f>K12+N12</f>
        <v>281</v>
      </c>
      <c r="P12" s="17">
        <v>59</v>
      </c>
      <c r="Q12" s="17">
        <v>54</v>
      </c>
      <c r="R12" s="18">
        <f>P12+Q12</f>
        <v>113</v>
      </c>
      <c r="S12" s="17">
        <v>60</v>
      </c>
      <c r="T12" s="17">
        <v>58</v>
      </c>
      <c r="U12" s="18">
        <f>S12+T12</f>
        <v>118</v>
      </c>
      <c r="V12" s="15">
        <f>R12+U12</f>
        <v>231</v>
      </c>
      <c r="W12" s="17">
        <v>65</v>
      </c>
      <c r="X12" s="17">
        <v>64</v>
      </c>
      <c r="Y12" s="18">
        <f>W12+X12</f>
        <v>129</v>
      </c>
      <c r="Z12" s="17">
        <v>69</v>
      </c>
      <c r="AA12" s="17">
        <v>66</v>
      </c>
      <c r="AB12" s="18">
        <f>Z12+AA12</f>
        <v>135</v>
      </c>
      <c r="AC12" s="34">
        <f>(H12+K12+(N12+Y12)/2+(V12+AB12)/3)/10</f>
        <v>68.25</v>
      </c>
      <c r="AD12" s="20">
        <f>RANK(AC12,$AC$10:$AC$13)</f>
        <v>2</v>
      </c>
      <c r="AG12" s="72">
        <f t="shared" si="1"/>
        <v>8</v>
      </c>
      <c r="AH12" s="73">
        <f t="shared" si="2"/>
        <v>432</v>
      </c>
      <c r="AI12" s="72">
        <f t="shared" si="0"/>
        <v>4</v>
      </c>
      <c r="AJ12" s="72">
        <f t="shared" si="3"/>
        <v>5</v>
      </c>
    </row>
    <row r="13" spans="1:36" ht="16.5" thickBot="1">
      <c r="A13" s="36" t="s">
        <v>39</v>
      </c>
      <c r="B13" s="16">
        <v>70</v>
      </c>
      <c r="C13" s="17">
        <v>67</v>
      </c>
      <c r="D13" s="18">
        <f>B13+C13</f>
        <v>137</v>
      </c>
      <c r="E13" s="17">
        <v>65</v>
      </c>
      <c r="F13" s="17">
        <v>63</v>
      </c>
      <c r="G13" s="18">
        <f>E13+F13</f>
        <v>128</v>
      </c>
      <c r="H13" s="18">
        <f>D13+G13</f>
        <v>265</v>
      </c>
      <c r="I13" s="17">
        <v>73</v>
      </c>
      <c r="J13" s="17">
        <v>70</v>
      </c>
      <c r="K13" s="18">
        <f>I13+J13</f>
        <v>143</v>
      </c>
      <c r="L13" s="17">
        <v>68</v>
      </c>
      <c r="M13" s="17">
        <v>69</v>
      </c>
      <c r="N13" s="18">
        <f>L13+M13</f>
        <v>137</v>
      </c>
      <c r="O13" s="15">
        <f>K13+N13</f>
        <v>280</v>
      </c>
      <c r="P13" s="17">
        <v>62</v>
      </c>
      <c r="Q13" s="17">
        <v>58</v>
      </c>
      <c r="R13" s="18">
        <f>P13+Q13</f>
        <v>120</v>
      </c>
      <c r="S13" s="17">
        <v>65</v>
      </c>
      <c r="T13" s="17">
        <v>65</v>
      </c>
      <c r="U13" s="18">
        <f>S13+T13</f>
        <v>130</v>
      </c>
      <c r="V13" s="15">
        <f>R13+U13</f>
        <v>250</v>
      </c>
      <c r="W13" s="17">
        <v>65</v>
      </c>
      <c r="X13" s="17">
        <v>63</v>
      </c>
      <c r="Y13" s="18">
        <f>W13+X13</f>
        <v>128</v>
      </c>
      <c r="Z13" s="17">
        <v>57</v>
      </c>
      <c r="AA13" s="17">
        <v>55</v>
      </c>
      <c r="AB13" s="18">
        <f>Z13+AA13</f>
        <v>112</v>
      </c>
      <c r="AC13" s="34">
        <f>(H13+K13+(N13+Y13)/2+(V13+AB13)/3)/10</f>
        <v>66.11666666666666</v>
      </c>
      <c r="AD13" s="20">
        <f>RANK(AC13,$AC$10:$AC$13)</f>
        <v>3</v>
      </c>
      <c r="AG13" s="72">
        <f t="shared" si="1"/>
        <v>9</v>
      </c>
      <c r="AH13" s="73">
        <f t="shared" si="2"/>
        <v>408</v>
      </c>
      <c r="AI13" s="72">
        <f t="shared" si="0"/>
        <v>5</v>
      </c>
      <c r="AJ13" s="72">
        <f t="shared" si="3"/>
        <v>13</v>
      </c>
    </row>
    <row r="14" spans="1:36" ht="15.75" thickBot="1">
      <c r="A14" s="84" t="s">
        <v>41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5"/>
      <c r="AG14" s="72" t="e">
        <f t="shared" si="1"/>
        <v>#N/A</v>
      </c>
      <c r="AH14" s="73">
        <f t="shared" si="2"/>
        <v>0</v>
      </c>
      <c r="AI14" s="72">
        <f t="shared" si="0"/>
        <v>19</v>
      </c>
      <c r="AJ14" s="72" t="e">
        <f t="shared" si="3"/>
        <v>#N/A</v>
      </c>
    </row>
    <row r="15" spans="1:36" ht="15.75">
      <c r="A15" s="36" t="s">
        <v>112</v>
      </c>
      <c r="B15" s="16">
        <v>69</v>
      </c>
      <c r="C15" s="17">
        <v>63</v>
      </c>
      <c r="D15" s="18">
        <f>B15+C15</f>
        <v>132</v>
      </c>
      <c r="E15" s="17">
        <v>61</v>
      </c>
      <c r="F15" s="17">
        <v>57</v>
      </c>
      <c r="G15" s="18">
        <f>E15+F15</f>
        <v>118</v>
      </c>
      <c r="H15" s="18">
        <f>D15+G15</f>
        <v>250</v>
      </c>
      <c r="I15" s="17">
        <v>60</v>
      </c>
      <c r="J15" s="17">
        <v>58</v>
      </c>
      <c r="K15" s="18">
        <f>I15+J15</f>
        <v>118</v>
      </c>
      <c r="L15" s="17">
        <v>68</v>
      </c>
      <c r="M15" s="17">
        <v>68</v>
      </c>
      <c r="N15" s="18">
        <f>L15+M15</f>
        <v>136</v>
      </c>
      <c r="O15" s="15">
        <f>K15+N15</f>
        <v>254</v>
      </c>
      <c r="P15" s="17">
        <v>65</v>
      </c>
      <c r="Q15" s="17">
        <v>64</v>
      </c>
      <c r="R15" s="18">
        <f>P15+Q15</f>
        <v>129</v>
      </c>
      <c r="S15" s="17">
        <v>66</v>
      </c>
      <c r="T15" s="17">
        <v>60</v>
      </c>
      <c r="U15" s="18">
        <f>S15+T15</f>
        <v>126</v>
      </c>
      <c r="V15" s="15">
        <f>R15+U15</f>
        <v>255</v>
      </c>
      <c r="W15" s="17">
        <v>68</v>
      </c>
      <c r="X15" s="17">
        <v>70</v>
      </c>
      <c r="Y15" s="18">
        <f>W15+X15</f>
        <v>138</v>
      </c>
      <c r="Z15" s="17">
        <v>67</v>
      </c>
      <c r="AA15" s="17">
        <v>65</v>
      </c>
      <c r="AB15" s="18">
        <f>Z15+AA15</f>
        <v>132</v>
      </c>
      <c r="AC15" s="34">
        <f>(H15+K15+(N15+Y15)/2+(V15+AB15)/3)/10</f>
        <v>63.4</v>
      </c>
      <c r="AD15" s="20">
        <f>RANK(AC15,$AC$15:$AC$17)</f>
        <v>2</v>
      </c>
      <c r="AG15" s="72">
        <f t="shared" si="1"/>
        <v>3</v>
      </c>
      <c r="AH15" s="73">
        <f t="shared" si="2"/>
        <v>372</v>
      </c>
      <c r="AI15" s="72">
        <f t="shared" si="0"/>
        <v>11</v>
      </c>
      <c r="AJ15" s="72">
        <f t="shared" si="3"/>
        <v>6</v>
      </c>
    </row>
    <row r="16" spans="1:36" ht="15.75">
      <c r="A16" s="36" t="s">
        <v>113</v>
      </c>
      <c r="B16" s="16">
        <v>63</v>
      </c>
      <c r="C16" s="17">
        <v>57</v>
      </c>
      <c r="D16" s="18">
        <f>B16+C16</f>
        <v>120</v>
      </c>
      <c r="E16" s="17">
        <v>63</v>
      </c>
      <c r="F16" s="17">
        <v>59</v>
      </c>
      <c r="G16" s="18">
        <f>E16+F16</f>
        <v>122</v>
      </c>
      <c r="H16" s="18">
        <f>D16+G16</f>
        <v>242</v>
      </c>
      <c r="I16" s="17">
        <v>56</v>
      </c>
      <c r="J16" s="17">
        <v>53</v>
      </c>
      <c r="K16" s="18">
        <f>I16+J16</f>
        <v>109</v>
      </c>
      <c r="L16" s="17">
        <v>62</v>
      </c>
      <c r="M16" s="17">
        <v>60</v>
      </c>
      <c r="N16" s="18">
        <f>L16+M16</f>
        <v>122</v>
      </c>
      <c r="O16" s="15">
        <f>K16+N16</f>
        <v>231</v>
      </c>
      <c r="P16" s="17">
        <v>57</v>
      </c>
      <c r="Q16" s="17">
        <v>55</v>
      </c>
      <c r="R16" s="18">
        <f>P16+Q16</f>
        <v>112</v>
      </c>
      <c r="S16" s="17">
        <v>55</v>
      </c>
      <c r="T16" s="17">
        <v>53</v>
      </c>
      <c r="U16" s="18">
        <f>S16+T16</f>
        <v>108</v>
      </c>
      <c r="V16" s="15">
        <f>R16+U16</f>
        <v>220</v>
      </c>
      <c r="W16" s="17">
        <v>64</v>
      </c>
      <c r="X16" s="17">
        <v>66</v>
      </c>
      <c r="Y16" s="18">
        <f>W16+X16</f>
        <v>130</v>
      </c>
      <c r="Z16" s="17">
        <v>55</v>
      </c>
      <c r="AA16" s="17">
        <v>52</v>
      </c>
      <c r="AB16" s="18">
        <f>Z16+AA16</f>
        <v>107</v>
      </c>
      <c r="AC16" s="34">
        <f>(H16+K16+(N16+Y16)/2+(V16+AB16)/3)/10</f>
        <v>58.6</v>
      </c>
      <c r="AD16" s="20">
        <f>RANK(AC16,$AC$15:$AC$17)</f>
        <v>3</v>
      </c>
      <c r="AG16" s="72">
        <f t="shared" si="1"/>
        <v>6</v>
      </c>
      <c r="AH16" s="73">
        <f t="shared" si="2"/>
        <v>353</v>
      </c>
      <c r="AI16" s="72">
        <f t="shared" si="0"/>
        <v>15</v>
      </c>
      <c r="AJ16" s="72">
        <f t="shared" si="3"/>
        <v>17</v>
      </c>
    </row>
    <row r="17" spans="1:36" ht="16.5" thickBot="1">
      <c r="A17" s="36" t="s">
        <v>40</v>
      </c>
      <c r="B17" s="16">
        <v>72</v>
      </c>
      <c r="C17" s="17">
        <v>70</v>
      </c>
      <c r="D17" s="18">
        <f>B17+C17</f>
        <v>142</v>
      </c>
      <c r="E17" s="17">
        <v>72</v>
      </c>
      <c r="F17" s="17">
        <v>69</v>
      </c>
      <c r="G17" s="18">
        <f>E17+F17</f>
        <v>141</v>
      </c>
      <c r="H17" s="18">
        <f>D17+G17</f>
        <v>283</v>
      </c>
      <c r="I17" s="17">
        <v>61</v>
      </c>
      <c r="J17" s="17">
        <v>60</v>
      </c>
      <c r="K17" s="18">
        <f>I17+J17</f>
        <v>121</v>
      </c>
      <c r="L17" s="17">
        <v>67</v>
      </c>
      <c r="M17" s="17">
        <v>67</v>
      </c>
      <c r="N17" s="18">
        <f>L17+M17</f>
        <v>134</v>
      </c>
      <c r="O17" s="15">
        <f>K17+N17</f>
        <v>255</v>
      </c>
      <c r="P17" s="17">
        <v>70</v>
      </c>
      <c r="Q17" s="17">
        <v>69</v>
      </c>
      <c r="R17" s="18">
        <f>P17+Q17</f>
        <v>139</v>
      </c>
      <c r="S17" s="17">
        <v>61</v>
      </c>
      <c r="T17" s="17">
        <v>59</v>
      </c>
      <c r="U17" s="18">
        <f>S17+T17</f>
        <v>120</v>
      </c>
      <c r="V17" s="15">
        <f>R17+U17</f>
        <v>259</v>
      </c>
      <c r="W17" s="17">
        <v>67</v>
      </c>
      <c r="X17" s="17">
        <v>70</v>
      </c>
      <c r="Y17" s="18">
        <f>W17+X17</f>
        <v>137</v>
      </c>
      <c r="Z17" s="17">
        <v>65</v>
      </c>
      <c r="AA17" s="17">
        <v>64</v>
      </c>
      <c r="AB17" s="18">
        <f>Z17+AA17</f>
        <v>129</v>
      </c>
      <c r="AC17" s="34">
        <f>(H17+K17+(N17+Y17)/2+(V17+AB17)/3)/10</f>
        <v>66.88333333333334</v>
      </c>
      <c r="AD17" s="20">
        <f>RANK(AC17,$AC$15:$AC$17)</f>
        <v>1</v>
      </c>
      <c r="AG17" s="72">
        <f t="shared" si="1"/>
        <v>4</v>
      </c>
      <c r="AH17" s="73">
        <f t="shared" si="2"/>
        <v>396</v>
      </c>
      <c r="AI17" s="72">
        <f t="shared" si="0"/>
        <v>8</v>
      </c>
      <c r="AJ17" s="72">
        <f t="shared" si="3"/>
        <v>7</v>
      </c>
    </row>
    <row r="18" spans="1:36" ht="15.75" thickBot="1">
      <c r="A18" s="85" t="s">
        <v>46</v>
      </c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5"/>
      <c r="AG18" s="72" t="e">
        <f t="shared" si="1"/>
        <v>#N/A</v>
      </c>
      <c r="AH18" s="73">
        <f t="shared" si="2"/>
        <v>0</v>
      </c>
      <c r="AI18" s="72">
        <f t="shared" si="0"/>
        <v>19</v>
      </c>
      <c r="AJ18" s="72" t="e">
        <f t="shared" si="3"/>
        <v>#N/A</v>
      </c>
    </row>
    <row r="19" spans="1:36" ht="15.75">
      <c r="A19" s="37" t="s">
        <v>114</v>
      </c>
      <c r="B19" s="16">
        <v>65</v>
      </c>
      <c r="C19" s="17">
        <v>58</v>
      </c>
      <c r="D19" s="18">
        <f>B19+C19</f>
        <v>123</v>
      </c>
      <c r="E19" s="17">
        <v>68</v>
      </c>
      <c r="F19" s="17">
        <v>64</v>
      </c>
      <c r="G19" s="18">
        <f>E19+F19</f>
        <v>132</v>
      </c>
      <c r="H19" s="18">
        <f>D19+G19</f>
        <v>255</v>
      </c>
      <c r="I19" s="17">
        <v>55</v>
      </c>
      <c r="J19" s="17">
        <v>54</v>
      </c>
      <c r="K19" s="18">
        <f>I19+J19</f>
        <v>109</v>
      </c>
      <c r="L19" s="17">
        <v>62</v>
      </c>
      <c r="M19" s="17">
        <v>60</v>
      </c>
      <c r="N19" s="18">
        <f>L19+M19</f>
        <v>122</v>
      </c>
      <c r="O19" s="15">
        <f>K19+N19</f>
        <v>231</v>
      </c>
      <c r="P19" s="17">
        <v>55</v>
      </c>
      <c r="Q19" s="17">
        <v>53</v>
      </c>
      <c r="R19" s="18">
        <f>P19+Q19</f>
        <v>108</v>
      </c>
      <c r="S19" s="17">
        <v>58</v>
      </c>
      <c r="T19" s="17">
        <v>55</v>
      </c>
      <c r="U19" s="18">
        <f>S19+T19</f>
        <v>113</v>
      </c>
      <c r="V19" s="15">
        <f>R19+U19</f>
        <v>221</v>
      </c>
      <c r="W19" s="17">
        <v>41</v>
      </c>
      <c r="X19" s="17">
        <v>42</v>
      </c>
      <c r="Y19" s="18">
        <f>W19+X19</f>
        <v>83</v>
      </c>
      <c r="Z19" s="17">
        <v>78</v>
      </c>
      <c r="AA19" s="17">
        <v>77</v>
      </c>
      <c r="AB19" s="18">
        <f>Z19+AA19</f>
        <v>155</v>
      </c>
      <c r="AC19" s="34">
        <f>(H19+K19+(N19+Y19)/2+(V19+AB19)/3)/10</f>
        <v>59.18333333333334</v>
      </c>
      <c r="AD19" s="20">
        <f>RANK(AC19,$AC$19:$AC$21)</f>
        <v>3</v>
      </c>
      <c r="AG19" s="72">
        <f t="shared" si="1"/>
        <v>14</v>
      </c>
      <c r="AH19" s="73">
        <f t="shared" si="2"/>
        <v>363</v>
      </c>
      <c r="AI19" s="72">
        <f t="shared" si="0"/>
        <v>12</v>
      </c>
      <c r="AJ19" s="72">
        <f t="shared" si="3"/>
        <v>2</v>
      </c>
    </row>
    <row r="20" spans="1:36" ht="15.75">
      <c r="A20" s="36" t="s">
        <v>115</v>
      </c>
      <c r="B20" s="16">
        <v>73</v>
      </c>
      <c r="C20" s="17">
        <v>72</v>
      </c>
      <c r="D20" s="18">
        <f>B20+C20</f>
        <v>145</v>
      </c>
      <c r="E20" s="17">
        <v>71</v>
      </c>
      <c r="F20" s="17">
        <v>68</v>
      </c>
      <c r="G20" s="18">
        <f>E20+F20</f>
        <v>139</v>
      </c>
      <c r="H20" s="18">
        <f>D20+G20</f>
        <v>284</v>
      </c>
      <c r="I20" s="17">
        <v>64</v>
      </c>
      <c r="J20" s="17">
        <v>60</v>
      </c>
      <c r="K20" s="18">
        <f>I20+J20</f>
        <v>124</v>
      </c>
      <c r="L20" s="17">
        <v>63</v>
      </c>
      <c r="M20" s="17">
        <v>62</v>
      </c>
      <c r="N20" s="18">
        <f>L20+M20</f>
        <v>125</v>
      </c>
      <c r="O20" s="15">
        <f>K20+N20</f>
        <v>249</v>
      </c>
      <c r="P20" s="17">
        <v>72</v>
      </c>
      <c r="Q20" s="17">
        <v>68</v>
      </c>
      <c r="R20" s="18">
        <f>P20+Q20</f>
        <v>140</v>
      </c>
      <c r="S20" s="17">
        <v>60</v>
      </c>
      <c r="T20" s="17">
        <v>62</v>
      </c>
      <c r="U20" s="18">
        <f>S20+T20</f>
        <v>122</v>
      </c>
      <c r="V20" s="15">
        <f>R20+U20</f>
        <v>262</v>
      </c>
      <c r="W20" s="17">
        <v>54</v>
      </c>
      <c r="X20" s="17">
        <v>57</v>
      </c>
      <c r="Y20" s="18">
        <f>W20+X20</f>
        <v>111</v>
      </c>
      <c r="Z20" s="17">
        <v>60</v>
      </c>
      <c r="AA20" s="17">
        <v>57</v>
      </c>
      <c r="AB20" s="18">
        <f>Z20+AA20</f>
        <v>117</v>
      </c>
      <c r="AC20" s="34">
        <f>(H20+K20+(N20+Y20)/2+(V20+AB20)/3)/10</f>
        <v>65.23333333333333</v>
      </c>
      <c r="AD20" s="20">
        <f>RANK(AC20,$AC$19:$AC$21)</f>
        <v>2</v>
      </c>
      <c r="AG20" s="72">
        <f t="shared" si="1"/>
        <v>11</v>
      </c>
      <c r="AH20" s="73">
        <f t="shared" si="2"/>
        <v>388</v>
      </c>
      <c r="AI20" s="72">
        <f t="shared" si="0"/>
        <v>9</v>
      </c>
      <c r="AJ20" s="72">
        <f t="shared" si="3"/>
        <v>12</v>
      </c>
    </row>
    <row r="21" spans="1:36" ht="16.5" thickBot="1">
      <c r="A21" s="36" t="s">
        <v>42</v>
      </c>
      <c r="B21" s="16">
        <v>74</v>
      </c>
      <c r="C21" s="17">
        <v>73</v>
      </c>
      <c r="D21" s="18">
        <f>B21+C21</f>
        <v>147</v>
      </c>
      <c r="E21" s="17">
        <v>69</v>
      </c>
      <c r="F21" s="17">
        <v>65</v>
      </c>
      <c r="G21" s="18">
        <f>E21+F21</f>
        <v>134</v>
      </c>
      <c r="H21" s="18">
        <f>D21+G21</f>
        <v>281</v>
      </c>
      <c r="I21" s="17">
        <v>69</v>
      </c>
      <c r="J21" s="17">
        <v>64</v>
      </c>
      <c r="K21" s="18">
        <f>I21+J21</f>
        <v>133</v>
      </c>
      <c r="L21" s="17">
        <v>68</v>
      </c>
      <c r="M21" s="17">
        <v>67</v>
      </c>
      <c r="N21" s="18">
        <f>L21+M21</f>
        <v>135</v>
      </c>
      <c r="O21" s="15">
        <f>K21+N21</f>
        <v>268</v>
      </c>
      <c r="P21" s="17">
        <v>69</v>
      </c>
      <c r="Q21" s="17">
        <v>66</v>
      </c>
      <c r="R21" s="18">
        <f>P21+Q21</f>
        <v>135</v>
      </c>
      <c r="S21" s="17">
        <v>64</v>
      </c>
      <c r="T21" s="17">
        <v>61</v>
      </c>
      <c r="U21" s="18">
        <f>S21+T21</f>
        <v>125</v>
      </c>
      <c r="V21" s="15">
        <f>R21+U21</f>
        <v>260</v>
      </c>
      <c r="W21" s="17">
        <v>64</v>
      </c>
      <c r="X21" s="17">
        <v>67</v>
      </c>
      <c r="Y21" s="18">
        <f>W21+X21</f>
        <v>131</v>
      </c>
      <c r="Z21" s="17">
        <v>80</v>
      </c>
      <c r="AA21" s="17">
        <v>78</v>
      </c>
      <c r="AB21" s="18">
        <f>Z21+AA21</f>
        <v>158</v>
      </c>
      <c r="AC21" s="34">
        <f>(H21+K21+(N21+Y21)/2+(V21+AB21)/3)/10</f>
        <v>68.63333333333334</v>
      </c>
      <c r="AD21" s="20">
        <f>RANK(AC21,$AC$19:$AC$21)</f>
        <v>1</v>
      </c>
      <c r="AG21" s="72">
        <f t="shared" si="1"/>
        <v>5</v>
      </c>
      <c r="AH21" s="73">
        <f t="shared" si="2"/>
        <v>402</v>
      </c>
      <c r="AI21" s="72">
        <f t="shared" si="0"/>
        <v>7</v>
      </c>
      <c r="AJ21" s="72">
        <f t="shared" si="3"/>
        <v>1</v>
      </c>
    </row>
    <row r="22" spans="1:36" ht="15.75" thickBot="1">
      <c r="A22" s="85" t="s">
        <v>43</v>
      </c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5"/>
      <c r="AG22" s="72" t="e">
        <f t="shared" si="1"/>
        <v>#N/A</v>
      </c>
      <c r="AH22" s="73">
        <f t="shared" si="2"/>
        <v>0</v>
      </c>
      <c r="AI22" s="72">
        <f t="shared" si="0"/>
        <v>19</v>
      </c>
      <c r="AJ22" s="72" t="e">
        <f t="shared" si="3"/>
        <v>#N/A</v>
      </c>
    </row>
    <row r="23" spans="1:36" ht="15.75">
      <c r="A23" s="36" t="s">
        <v>116</v>
      </c>
      <c r="B23" s="16">
        <v>71</v>
      </c>
      <c r="C23" s="17">
        <v>68</v>
      </c>
      <c r="D23" s="18">
        <f>B23+C23</f>
        <v>139</v>
      </c>
      <c r="E23" s="17">
        <v>58</v>
      </c>
      <c r="F23" s="17">
        <v>54</v>
      </c>
      <c r="G23" s="18">
        <f>E23+F23</f>
        <v>112</v>
      </c>
      <c r="H23" s="18">
        <f>D23+G23</f>
        <v>251</v>
      </c>
      <c r="I23" s="17">
        <v>59</v>
      </c>
      <c r="J23" s="17">
        <v>57</v>
      </c>
      <c r="K23" s="18">
        <f>I23+J23</f>
        <v>116</v>
      </c>
      <c r="L23" s="17">
        <v>54</v>
      </c>
      <c r="M23" s="17">
        <v>56</v>
      </c>
      <c r="N23" s="18">
        <f>L23+M23</f>
        <v>110</v>
      </c>
      <c r="O23" s="15">
        <f>K23+N23</f>
        <v>226</v>
      </c>
      <c r="P23" s="17">
        <v>58</v>
      </c>
      <c r="Q23" s="17">
        <v>57</v>
      </c>
      <c r="R23" s="18">
        <f>P23+Q23</f>
        <v>115</v>
      </c>
      <c r="S23" s="17">
        <v>53</v>
      </c>
      <c r="T23" s="17">
        <v>54</v>
      </c>
      <c r="U23" s="18">
        <f>S23+T23</f>
        <v>107</v>
      </c>
      <c r="V23" s="15">
        <f>R23+U23</f>
        <v>222</v>
      </c>
      <c r="W23" s="17">
        <v>41</v>
      </c>
      <c r="X23" s="17">
        <v>38</v>
      </c>
      <c r="Y23" s="18">
        <f>W23+X23</f>
        <v>79</v>
      </c>
      <c r="Z23" s="17">
        <v>53</v>
      </c>
      <c r="AA23" s="17">
        <v>55</v>
      </c>
      <c r="AB23" s="18">
        <f>Z23+AA23</f>
        <v>108</v>
      </c>
      <c r="AC23" s="34">
        <f>(H23+K23+(N23+Y23)/2+(V23+AB23)/3)/10</f>
        <v>57.15</v>
      </c>
      <c r="AD23" s="20">
        <f>RANK(AC23,$AC$23:$AC$26)</f>
        <v>4</v>
      </c>
      <c r="AG23" s="72">
        <f t="shared" si="1"/>
        <v>16</v>
      </c>
      <c r="AH23" s="73">
        <f t="shared" si="2"/>
        <v>338</v>
      </c>
      <c r="AI23" s="72">
        <f t="shared" si="0"/>
        <v>16</v>
      </c>
      <c r="AJ23" s="72">
        <f t="shared" si="3"/>
        <v>16</v>
      </c>
    </row>
    <row r="24" spans="1:36" ht="15.75">
      <c r="A24" s="36" t="s">
        <v>45</v>
      </c>
      <c r="B24" s="16">
        <v>76</v>
      </c>
      <c r="C24" s="17">
        <v>74</v>
      </c>
      <c r="D24" s="18">
        <f>B24+C24</f>
        <v>150</v>
      </c>
      <c r="E24" s="17">
        <v>73</v>
      </c>
      <c r="F24" s="17">
        <v>70</v>
      </c>
      <c r="G24" s="18">
        <f>E24+F24</f>
        <v>143</v>
      </c>
      <c r="H24" s="18">
        <f>D24+G24</f>
        <v>293</v>
      </c>
      <c r="I24" s="17">
        <v>63</v>
      </c>
      <c r="J24" s="17">
        <v>62</v>
      </c>
      <c r="K24" s="18">
        <f>I24+J24</f>
        <v>125</v>
      </c>
      <c r="L24" s="17">
        <v>67</v>
      </c>
      <c r="M24" s="17">
        <v>68</v>
      </c>
      <c r="N24" s="18">
        <f>L24+M24</f>
        <v>135</v>
      </c>
      <c r="O24" s="15">
        <f>K24+N24</f>
        <v>260</v>
      </c>
      <c r="P24" s="17">
        <v>73</v>
      </c>
      <c r="Q24" s="17">
        <v>73</v>
      </c>
      <c r="R24" s="18">
        <f>P24+Q24</f>
        <v>146</v>
      </c>
      <c r="S24" s="17">
        <v>60</v>
      </c>
      <c r="T24" s="17">
        <v>60</v>
      </c>
      <c r="U24" s="18">
        <f>S24+T24</f>
        <v>120</v>
      </c>
      <c r="V24" s="15">
        <f>R24+U24</f>
        <v>266</v>
      </c>
      <c r="W24" s="17">
        <v>53</v>
      </c>
      <c r="X24" s="17">
        <v>58</v>
      </c>
      <c r="Y24" s="18">
        <f>W24+X24</f>
        <v>111</v>
      </c>
      <c r="Z24" s="17">
        <v>66</v>
      </c>
      <c r="AA24" s="17">
        <v>62</v>
      </c>
      <c r="AB24" s="18">
        <f>Z24+AA24</f>
        <v>128</v>
      </c>
      <c r="AC24" s="34">
        <f>(H24+K24+(N24+Y24)/2+(V24+AB24)/3)/10</f>
        <v>67.23333333333333</v>
      </c>
      <c r="AD24" s="20">
        <f>RANK(AC24,$AC$23:$AC$26)</f>
        <v>3</v>
      </c>
      <c r="AG24" s="72">
        <f t="shared" si="1"/>
        <v>11</v>
      </c>
      <c r="AH24" s="73">
        <f t="shared" si="2"/>
        <v>403</v>
      </c>
      <c r="AI24" s="72">
        <f t="shared" si="0"/>
        <v>6</v>
      </c>
      <c r="AJ24" s="72">
        <f t="shared" si="3"/>
        <v>8</v>
      </c>
    </row>
    <row r="25" spans="1:36" ht="15.75">
      <c r="A25" s="36" t="s">
        <v>44</v>
      </c>
      <c r="B25" s="16">
        <v>74</v>
      </c>
      <c r="C25" s="17">
        <v>70</v>
      </c>
      <c r="D25" s="18">
        <f>B25+C25</f>
        <v>144</v>
      </c>
      <c r="E25" s="17">
        <v>79</v>
      </c>
      <c r="F25" s="17">
        <v>75</v>
      </c>
      <c r="G25" s="18">
        <f>E25+F25</f>
        <v>154</v>
      </c>
      <c r="H25" s="18">
        <f>D25+G25</f>
        <v>298</v>
      </c>
      <c r="I25" s="17">
        <v>75</v>
      </c>
      <c r="J25" s="17">
        <v>73</v>
      </c>
      <c r="K25" s="18">
        <f>I25+J25</f>
        <v>148</v>
      </c>
      <c r="L25" s="17">
        <v>71</v>
      </c>
      <c r="M25" s="17">
        <v>70</v>
      </c>
      <c r="N25" s="18">
        <f>L25+M25</f>
        <v>141</v>
      </c>
      <c r="O25" s="15">
        <f>K25+N25</f>
        <v>289</v>
      </c>
      <c r="P25" s="17">
        <v>75</v>
      </c>
      <c r="Q25" s="17">
        <v>74</v>
      </c>
      <c r="R25" s="18">
        <f>P25+Q25</f>
        <v>149</v>
      </c>
      <c r="S25" s="17">
        <v>68</v>
      </c>
      <c r="T25" s="17">
        <v>70</v>
      </c>
      <c r="U25" s="18">
        <f>S25+T25</f>
        <v>138</v>
      </c>
      <c r="V25" s="15">
        <f>R25+U25</f>
        <v>287</v>
      </c>
      <c r="W25" s="17">
        <v>75</v>
      </c>
      <c r="X25" s="17">
        <v>78</v>
      </c>
      <c r="Y25" s="18">
        <f>W25+X25</f>
        <v>153</v>
      </c>
      <c r="Z25" s="17">
        <v>76</v>
      </c>
      <c r="AA25" s="17">
        <v>74</v>
      </c>
      <c r="AB25" s="18">
        <f>Z25+AA25</f>
        <v>150</v>
      </c>
      <c r="AC25" s="34">
        <f>(H25+K25+(N25+Y25)/2+(V25+AB25)/3)/10</f>
        <v>73.86666666666666</v>
      </c>
      <c r="AD25" s="20">
        <f>RANK(AC25,$AC$23:$AC$26)</f>
        <v>2</v>
      </c>
      <c r="AG25" s="72">
        <f t="shared" si="1"/>
        <v>2</v>
      </c>
      <c r="AH25" s="73">
        <f t="shared" si="2"/>
        <v>443</v>
      </c>
      <c r="AI25" s="72">
        <f t="shared" si="0"/>
        <v>2</v>
      </c>
      <c r="AJ25" s="72">
        <f t="shared" si="3"/>
        <v>3</v>
      </c>
    </row>
    <row r="26" spans="1:36" ht="16.5" thickBot="1">
      <c r="A26" s="51" t="s">
        <v>117</v>
      </c>
      <c r="B26" s="52">
        <v>79</v>
      </c>
      <c r="C26" s="53">
        <v>76</v>
      </c>
      <c r="D26" s="54">
        <f>B26+C26</f>
        <v>155</v>
      </c>
      <c r="E26" s="53">
        <v>83</v>
      </c>
      <c r="F26" s="53">
        <v>82</v>
      </c>
      <c r="G26" s="54">
        <f>E26+F26</f>
        <v>165</v>
      </c>
      <c r="H26" s="54">
        <f>D26+G26</f>
        <v>320</v>
      </c>
      <c r="I26" s="53">
        <v>92</v>
      </c>
      <c r="J26" s="53">
        <v>90</v>
      </c>
      <c r="K26" s="54">
        <f>I26+J26</f>
        <v>182</v>
      </c>
      <c r="L26" s="53">
        <v>81</v>
      </c>
      <c r="M26" s="53">
        <v>82</v>
      </c>
      <c r="N26" s="54">
        <f>L26+M26</f>
        <v>163</v>
      </c>
      <c r="O26" s="54">
        <f>K26+N26</f>
        <v>345</v>
      </c>
      <c r="P26" s="53">
        <v>83</v>
      </c>
      <c r="Q26" s="53">
        <v>80</v>
      </c>
      <c r="R26" s="54">
        <f>P26+Q26</f>
        <v>163</v>
      </c>
      <c r="S26" s="53">
        <v>77</v>
      </c>
      <c r="T26" s="53">
        <v>75</v>
      </c>
      <c r="U26" s="54">
        <f>S26+T26</f>
        <v>152</v>
      </c>
      <c r="V26" s="54">
        <f>R26+U26</f>
        <v>315</v>
      </c>
      <c r="W26" s="53">
        <v>81</v>
      </c>
      <c r="X26" s="53">
        <v>85</v>
      </c>
      <c r="Y26" s="54">
        <f>W26+X26</f>
        <v>166</v>
      </c>
      <c r="Z26" s="53">
        <v>75</v>
      </c>
      <c r="AA26" s="53">
        <v>71</v>
      </c>
      <c r="AB26" s="54">
        <f>Z26+AA26</f>
        <v>146</v>
      </c>
      <c r="AC26" s="55">
        <f>(H26+K26+(N26+Y26)/2+(V26+AB26)/3)/10</f>
        <v>82.01666666666667</v>
      </c>
      <c r="AD26" s="56">
        <f>RANK(AC26,$AC$23:$AC$26)</f>
        <v>1</v>
      </c>
      <c r="AG26" s="72">
        <f t="shared" si="1"/>
        <v>1</v>
      </c>
      <c r="AH26" s="73">
        <f t="shared" si="2"/>
        <v>510</v>
      </c>
      <c r="AI26" s="72">
        <f t="shared" si="0"/>
        <v>1</v>
      </c>
      <c r="AJ26" s="72">
        <f t="shared" si="3"/>
        <v>4</v>
      </c>
    </row>
    <row r="27" spans="1:30" s="26" customFormat="1" ht="15.75">
      <c r="A27" s="21"/>
      <c r="B27" s="22"/>
      <c r="C27" s="22"/>
      <c r="D27" s="23"/>
      <c r="E27" s="22"/>
      <c r="F27" s="22"/>
      <c r="G27" s="23"/>
      <c r="H27" s="23"/>
      <c r="I27" s="22"/>
      <c r="J27" s="22"/>
      <c r="K27" s="23"/>
      <c r="L27" s="22"/>
      <c r="M27" s="22"/>
      <c r="N27" s="23"/>
      <c r="O27" s="23"/>
      <c r="P27" s="22"/>
      <c r="Q27" s="22"/>
      <c r="R27" s="23"/>
      <c r="S27" s="22"/>
      <c r="T27" s="22"/>
      <c r="U27" s="23"/>
      <c r="V27" s="23"/>
      <c r="W27" s="22"/>
      <c r="X27" s="22"/>
      <c r="Y27" s="23"/>
      <c r="Z27" s="22"/>
      <c r="AA27" s="22"/>
      <c r="AB27" s="23"/>
      <c r="AC27" s="24"/>
      <c r="AD27" s="25"/>
    </row>
    <row r="28" spans="1:28" ht="15.75">
      <c r="A28" s="21"/>
      <c r="B28" s="150" t="s">
        <v>7</v>
      </c>
      <c r="C28" s="150"/>
      <c r="D28" s="150"/>
      <c r="E28" s="150"/>
      <c r="F28" s="150"/>
      <c r="G28" s="22"/>
      <c r="H28" s="150" t="s">
        <v>53</v>
      </c>
      <c r="I28" s="150"/>
      <c r="J28" s="150"/>
      <c r="K28" s="150"/>
      <c r="L28" s="150"/>
      <c r="M28" s="26"/>
      <c r="N28" s="150" t="s">
        <v>20</v>
      </c>
      <c r="O28" s="150"/>
      <c r="P28" s="150"/>
      <c r="Q28" s="150"/>
      <c r="R28" s="22"/>
      <c r="S28" s="145" t="s">
        <v>54</v>
      </c>
      <c r="T28" s="145"/>
      <c r="U28" s="145"/>
      <c r="V28" s="145"/>
      <c r="Y28" s="145" t="s">
        <v>68</v>
      </c>
      <c r="Z28" s="145"/>
      <c r="AA28" s="145"/>
      <c r="AB28" s="145"/>
    </row>
    <row r="29" spans="1:30" s="19" customFormat="1" ht="15.75">
      <c r="A29" s="71" t="s">
        <v>55</v>
      </c>
      <c r="B29" s="149" t="str">
        <f>INDEX(A5:A26,MATCH(1,AG5:AG26,0))&amp;IF(COUNTIF(AG5:AG26,1)&gt;1," -TIE","")</f>
        <v>Rock Bridge</v>
      </c>
      <c r="C29" s="149"/>
      <c r="D29" s="149"/>
      <c r="E29" s="149"/>
      <c r="F29" s="149"/>
      <c r="G29" s="22"/>
      <c r="H29" s="149" t="str">
        <f>INDEX(A5:A26,MATCH(1,AI5:AI26,0))&amp;IF(COUNTIF(AI5:AI26,1)&gt;1," -TIE","")</f>
        <v>Rock Bridge</v>
      </c>
      <c r="I29" s="149"/>
      <c r="J29" s="149"/>
      <c r="K29" s="149"/>
      <c r="L29" s="149"/>
      <c r="M29" s="149" t="str">
        <f>INDEX(A5:A26,MATCH(1,AJ5:AJ26,0))&amp;IF(COUNTIF(AJ5:AJ26,1)&gt;1," -TIE","")</f>
        <v>Warrensburg</v>
      </c>
      <c r="N29" s="149"/>
      <c r="O29" s="149"/>
      <c r="P29" s="149"/>
      <c r="Q29" s="149"/>
      <c r="R29" s="149"/>
      <c r="S29" s="146" t="s">
        <v>124</v>
      </c>
      <c r="T29" s="146"/>
      <c r="U29" s="146"/>
      <c r="V29" s="146"/>
      <c r="W29" s="41"/>
      <c r="X29" s="41"/>
      <c r="Y29" s="146" t="s">
        <v>109</v>
      </c>
      <c r="Z29" s="146"/>
      <c r="AA29" s="146"/>
      <c r="AB29" s="146"/>
      <c r="AC29" s="41"/>
      <c r="AD29" s="41"/>
    </row>
    <row r="30" spans="1:30" s="19" customFormat="1" ht="15.75" thickBot="1">
      <c r="A30" s="7"/>
      <c r="B30" s="5"/>
      <c r="C30" s="5"/>
      <c r="D30" s="6"/>
      <c r="E30" s="33"/>
      <c r="F30" s="5"/>
      <c r="G30" s="6"/>
      <c r="H30" s="6"/>
      <c r="I30" s="5"/>
      <c r="J30" s="5"/>
      <c r="K30" s="6"/>
      <c r="L30" s="5"/>
      <c r="M30" s="5"/>
      <c r="N30" s="6"/>
      <c r="O30" s="6"/>
      <c r="P30" s="5"/>
      <c r="Q30" s="5"/>
      <c r="R30" s="6"/>
      <c r="S30" s="5"/>
      <c r="T30" s="5"/>
      <c r="U30" s="6"/>
      <c r="V30" s="6"/>
      <c r="W30" s="33"/>
      <c r="X30" s="33"/>
      <c r="Y30" s="74"/>
      <c r="Z30" s="33"/>
      <c r="AA30" s="33"/>
      <c r="AB30" s="74"/>
      <c r="AC30" s="74"/>
      <c r="AD30" s="75"/>
    </row>
    <row r="31" spans="1:22" ht="15.75" thickTop="1">
      <c r="A31" s="136" t="s">
        <v>22</v>
      </c>
      <c r="B31" s="136"/>
      <c r="C31" s="136"/>
      <c r="D31" s="136"/>
      <c r="E31" s="29" t="s">
        <v>23</v>
      </c>
      <c r="F31" s="30"/>
      <c r="G31" s="30"/>
      <c r="H31" s="30"/>
      <c r="I31" s="30"/>
      <c r="J31" s="40"/>
      <c r="K31" s="30"/>
      <c r="L31" s="38" t="s">
        <v>27</v>
      </c>
      <c r="M31" s="30"/>
      <c r="N31" s="40"/>
      <c r="O31" s="30"/>
      <c r="P31" s="30"/>
      <c r="Q31" s="30"/>
      <c r="R31" s="38" t="s">
        <v>27</v>
      </c>
      <c r="S31" s="30"/>
      <c r="T31" s="30"/>
      <c r="U31" s="30"/>
      <c r="V31" s="40"/>
    </row>
    <row r="32" spans="1:22" ht="15">
      <c r="A32" s="31"/>
      <c r="B32" s="31"/>
      <c r="C32" s="31"/>
      <c r="D32" s="31"/>
      <c r="E32" s="32" t="s">
        <v>24</v>
      </c>
      <c r="F32" s="31"/>
      <c r="G32" s="31"/>
      <c r="H32" s="41"/>
      <c r="I32" s="41"/>
      <c r="J32" s="42"/>
      <c r="K32" s="41"/>
      <c r="L32" s="43" t="s">
        <v>28</v>
      </c>
      <c r="M32" s="41"/>
      <c r="N32" s="42"/>
      <c r="O32" s="41"/>
      <c r="P32" s="41"/>
      <c r="Q32" s="41"/>
      <c r="R32" s="43" t="s">
        <v>30</v>
      </c>
      <c r="S32" s="41"/>
      <c r="T32" s="41"/>
      <c r="U32" s="41"/>
      <c r="V32" s="42"/>
    </row>
    <row r="33" spans="5:18" ht="15">
      <c r="E33" s="32" t="s">
        <v>25</v>
      </c>
      <c r="L33" s="32" t="s">
        <v>29</v>
      </c>
      <c r="R33" s="32" t="s">
        <v>31</v>
      </c>
    </row>
    <row r="34" spans="5:18" ht="15">
      <c r="E34" s="32" t="s">
        <v>26</v>
      </c>
      <c r="R34" s="32" t="s">
        <v>32</v>
      </c>
    </row>
  </sheetData>
  <sheetProtection sheet="1" objects="1" scenarios="1" selectLockedCells="1"/>
  <mergeCells count="32">
    <mergeCell ref="H28:L28"/>
    <mergeCell ref="N28:Q28"/>
    <mergeCell ref="Y29:AB29"/>
    <mergeCell ref="B1:D1"/>
    <mergeCell ref="E1:G1"/>
    <mergeCell ref="L1:N1"/>
    <mergeCell ref="S1:U1"/>
    <mergeCell ref="I1:K1"/>
    <mergeCell ref="B29:F29"/>
    <mergeCell ref="H29:L29"/>
    <mergeCell ref="S29:V29"/>
    <mergeCell ref="M29:R29"/>
    <mergeCell ref="Z2:AB2"/>
    <mergeCell ref="I2:K2"/>
    <mergeCell ref="S28:V28"/>
    <mergeCell ref="Y28:AB28"/>
    <mergeCell ref="S2:U2"/>
    <mergeCell ref="W1:Y1"/>
    <mergeCell ref="B14:AD14"/>
    <mergeCell ref="B18:AD18"/>
    <mergeCell ref="B22:AD22"/>
    <mergeCell ref="B28:F28"/>
    <mergeCell ref="W2:Y2"/>
    <mergeCell ref="P2:R2"/>
    <mergeCell ref="B4:AD4"/>
    <mergeCell ref="B9:AD9"/>
    <mergeCell ref="A31:D31"/>
    <mergeCell ref="Z1:AB1"/>
    <mergeCell ref="P1:R1"/>
    <mergeCell ref="B2:D2"/>
    <mergeCell ref="E2:G2"/>
    <mergeCell ref="L2:N2"/>
  </mergeCells>
  <conditionalFormatting sqref="B18 B5:AC8 B14 B15:AC17 B19:AC21 B22 B10:AC13 B30:AC30 H29 B29 G28:G29 Y28:Y29 B23:AC27 F3:G3 Q3:V3 C3:D3 J1:K3 A1:B4 AC1:AC3 X3:Y3 L3:O3 AD3 A5:A26 R28 B9 S28:S29 AG1:AG28 AJ1:AK28">
    <cfRule type="cellIs" priority="1" dxfId="0" operator="equal" stopIfTrue="1">
      <formula>0</formula>
    </cfRule>
  </conditionalFormatting>
  <printOptions horizontalCentered="1"/>
  <pageMargins left="0.25" right="0.25" top="1" bottom="0.25" header="0.25" footer="0.5"/>
  <pageSetup fitToHeight="1" fitToWidth="1" horizontalDpi="360" verticalDpi="360" orientation="landscape" paperSize="5" scale="88" r:id="rId2"/>
  <headerFooter alignWithMargins="0">
    <oddHeader>&amp;C&amp;"Arial,Bold"&amp;18Odessa Marching Invitational
&amp;"Arial,Italic"&amp;16Field Competition&amp;"Arial,Bold"&amp;18
&amp;12October 11, 2008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G10">
      <selection activeCell="B209" sqref="B209"/>
    </sheetView>
  </sheetViews>
  <sheetFormatPr defaultColWidth="9.140625" defaultRowHeight="12.75"/>
  <cols>
    <col min="1" max="1" width="5.00390625" style="0" customWidth="1"/>
    <col min="2" max="2" width="94.28125" style="0" customWidth="1"/>
    <col min="7" max="7" width="19.57421875" style="0" customWidth="1"/>
    <col min="8" max="8" width="26.57421875" style="0" customWidth="1"/>
    <col min="9" max="9" width="15.7109375" style="0" customWidth="1"/>
    <col min="10" max="10" width="3.140625" style="0" customWidth="1"/>
  </cols>
  <sheetData>
    <row r="1" spans="1:10" ht="15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28"/>
      <c r="B3" s="116" t="s">
        <v>63</v>
      </c>
      <c r="C3" s="116"/>
      <c r="D3" s="116"/>
      <c r="E3" s="116"/>
      <c r="F3" s="116"/>
      <c r="G3" s="116"/>
      <c r="H3" s="116"/>
      <c r="I3" s="116"/>
      <c r="J3" s="116"/>
    </row>
    <row r="4" spans="1:10" ht="15.75">
      <c r="A4" s="2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27" t="s">
        <v>121</v>
      </c>
      <c r="B5" s="48"/>
      <c r="C5" s="48"/>
      <c r="D5" s="48"/>
      <c r="E5" s="48"/>
      <c r="F5" s="48"/>
      <c r="G5" s="48"/>
      <c r="H5" s="48"/>
      <c r="I5" s="48"/>
      <c r="J5" s="48"/>
    </row>
    <row r="6" spans="2:10" ht="15.75">
      <c r="B6" s="27" t="s">
        <v>122</v>
      </c>
      <c r="C6" s="28"/>
      <c r="D6" s="28"/>
      <c r="E6" s="28"/>
      <c r="F6" s="28"/>
      <c r="G6" s="28"/>
      <c r="H6" s="28"/>
      <c r="I6" s="28"/>
      <c r="J6" s="28"/>
    </row>
    <row r="7" spans="1:10" ht="1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.75">
      <c r="A8" s="27" t="s">
        <v>64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0" ht="15.75" customHeight="1">
      <c r="A10" s="28"/>
      <c r="B10" s="116" t="str">
        <f>"In the RED Class, with a score of   "&amp;LEFT(INDEX('Parade Recap'!$A$5:$O$8,MATCH(4,'Parade Recap'!$O$5:$O$8,),14),5)</f>
        <v>In the RED Class, with a score of   59.44</v>
      </c>
      <c r="C10" s="116"/>
      <c r="D10" s="116"/>
      <c r="E10" s="116"/>
      <c r="F10" s="116"/>
      <c r="G10" s="116"/>
      <c r="H10" s="64"/>
      <c r="I10" s="86"/>
      <c r="J10" s="28"/>
    </row>
    <row r="11" spans="1:10" ht="15.75">
      <c r="A11" s="28"/>
      <c r="B11" s="48"/>
      <c r="C11" s="48"/>
      <c r="D11" s="48"/>
      <c r="E11" s="48"/>
      <c r="F11" s="49"/>
      <c r="G11" s="49"/>
      <c r="H11" s="28"/>
      <c r="I11" s="28"/>
      <c r="J11" s="28"/>
    </row>
    <row r="12" spans="1:10" ht="15.75">
      <c r="A12" s="28"/>
      <c r="B12" s="116" t="str">
        <f>"Fourth Place is awarded to "&amp;INDEX('Parade Recap'!$A$5:$O$8,MATCH(4,'Parade Recap'!$O$5:$O$8,),1)</f>
        <v>Fourth Place is awarded to  Lone Jack </v>
      </c>
      <c r="C12" s="116"/>
      <c r="D12" s="116"/>
      <c r="E12" s="116"/>
      <c r="F12" s="116"/>
      <c r="H12" s="64"/>
      <c r="I12" s="49"/>
      <c r="J12" s="49"/>
    </row>
    <row r="13" spans="1:10" ht="1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 customHeight="1">
      <c r="A14" s="28"/>
      <c r="B14" s="116" t="str">
        <f>"With a score of   "&amp;LEFT(INDEX('Parade Recap'!$A$5:$O$8,MATCH(3,'Parade Recap'!$O$5:$O$8,),14),5)</f>
        <v>With a score of   59.59</v>
      </c>
      <c r="C14" s="116"/>
      <c r="D14" s="116"/>
      <c r="E14" s="116"/>
      <c r="F14" s="116"/>
      <c r="G14" s="116"/>
      <c r="H14" s="64"/>
      <c r="I14" s="86"/>
      <c r="J14" s="28"/>
    </row>
    <row r="15" spans="1:10" ht="15.75">
      <c r="A15" s="28"/>
      <c r="B15" s="48"/>
      <c r="C15" s="48"/>
      <c r="D15" s="48"/>
      <c r="E15" s="48"/>
      <c r="F15" s="49"/>
      <c r="G15" s="49"/>
      <c r="H15" s="28"/>
      <c r="I15" s="28"/>
      <c r="J15" s="28"/>
    </row>
    <row r="16" spans="1:10" ht="15.75">
      <c r="A16" s="28"/>
      <c r="B16" s="116" t="str">
        <f>"Third Place is awarded to "&amp;INDEX('Parade Recap'!$A$5:$O$8,MATCH(3,'Parade Recap'!$O$5:$O$8,),1)</f>
        <v>Third Place is awarded to  Lafayette Co. </v>
      </c>
      <c r="C16" s="116"/>
      <c r="D16" s="116"/>
      <c r="E16" s="116"/>
      <c r="F16" s="116"/>
      <c r="H16" s="64"/>
      <c r="I16" s="49"/>
      <c r="J16" s="49"/>
    </row>
    <row r="17" spans="1:10" ht="1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 customHeight="1">
      <c r="A18" s="28"/>
      <c r="B18" s="116" t="str">
        <f>"With a score of   "&amp;LEFT(INDEX('Parade Recap'!$A$5:$O$8,MATCH(2,'Parade Recap'!$O$5:$O$8,),14),5)</f>
        <v>With a score of   73.44</v>
      </c>
      <c r="C18" s="116"/>
      <c r="D18" s="116"/>
      <c r="E18" s="116"/>
      <c r="F18" s="116"/>
      <c r="G18" s="116"/>
      <c r="H18" s="64"/>
      <c r="I18" s="86"/>
      <c r="J18" s="28"/>
    </row>
    <row r="19" spans="1:10" ht="15.75">
      <c r="A19" s="28"/>
      <c r="B19" s="48"/>
      <c r="C19" s="48"/>
      <c r="D19" s="48"/>
      <c r="E19" s="48"/>
      <c r="F19" s="49"/>
      <c r="G19" s="49"/>
      <c r="H19" s="28"/>
      <c r="I19" s="28"/>
      <c r="J19" s="28"/>
    </row>
    <row r="20" spans="1:10" ht="15.75">
      <c r="A20" s="28"/>
      <c r="B20" s="116" t="str">
        <f>"Second Place is awarded to "&amp;INDEX('Parade Recap'!$A$5:$O$8,MATCH(2,'Parade Recap'!$O$5:$O$8,),1)</f>
        <v>Second Place is awarded to  Sherwood </v>
      </c>
      <c r="C20" s="116"/>
      <c r="D20" s="116"/>
      <c r="E20" s="116"/>
      <c r="F20" s="116"/>
      <c r="H20" s="64"/>
      <c r="I20" s="49"/>
      <c r="J20" s="49"/>
    </row>
    <row r="21" spans="1:10" ht="1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customHeight="1">
      <c r="A22" s="28"/>
      <c r="B22" s="116" t="str">
        <f>"And with a score of   "&amp;LEFT(INDEX('Parade Recap'!$A$5:$O$8,MATCH(1,'Parade Recap'!$O$5:$O$8,),14),5)</f>
        <v>And with a score of   74.88</v>
      </c>
      <c r="C22" s="116"/>
      <c r="D22" s="116"/>
      <c r="E22" s="116"/>
      <c r="H22" s="64"/>
      <c r="I22" s="86"/>
      <c r="J22" s="28"/>
    </row>
    <row r="23" spans="1:10" ht="15.75">
      <c r="A23" s="28"/>
      <c r="B23" s="48"/>
      <c r="C23" s="48"/>
      <c r="D23" s="48"/>
      <c r="E23" s="48"/>
      <c r="F23" s="49"/>
      <c r="G23" s="49"/>
      <c r="H23" s="28"/>
      <c r="I23" s="28"/>
      <c r="J23" s="28"/>
    </row>
    <row r="24" spans="1:10" ht="15.75">
      <c r="A24" s="28"/>
      <c r="B24" s="116" t="str">
        <f>"The 2008 RED Class Parade Champion is   "&amp;INDEX('Parade Recap'!$A$5:$O$8,MATCH(1,'Parade Recap'!$O$5:$O$8,),1)</f>
        <v>The 2008 RED Class Parade Champion is    Trenton </v>
      </c>
      <c r="C24" s="116"/>
      <c r="D24" s="116"/>
      <c r="E24" s="116"/>
      <c r="F24" s="116"/>
      <c r="G24" s="116"/>
      <c r="H24" s="64"/>
      <c r="I24" s="49"/>
      <c r="J24" s="49"/>
    </row>
    <row r="25" spans="1:10" ht="1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7" spans="2:8" ht="15.75">
      <c r="B27" s="116" t="str">
        <f>"Moving on to the WHITE Class, with a score of  "&amp;LEFT(INDEX('Parade Recap'!$A$10:$O$13,MATCH(4,'Parade Recap'!$O$10:$O$13,),14),5)</f>
        <v>Moving on to the WHITE Class, with a score of  67.44</v>
      </c>
      <c r="C27" s="116"/>
      <c r="D27" s="116"/>
      <c r="E27" s="116"/>
      <c r="H27" s="64"/>
    </row>
    <row r="28" spans="2:8" ht="15.75">
      <c r="B28" s="48"/>
      <c r="C28" s="48"/>
      <c r="D28" s="48"/>
      <c r="E28" s="48"/>
      <c r="F28" s="49"/>
      <c r="G28" s="49"/>
      <c r="H28" s="28"/>
    </row>
    <row r="29" spans="2:8" ht="15.75" customHeight="1">
      <c r="B29" s="116" t="str">
        <f>"Fourth Place is awarded to  "&amp;INDEX('Parade Recap'!$A$10:$O$13,MATCH(4,'Parade Recap'!$O$10:$O$13,),1)</f>
        <v>Fourth Place is awarded to   Maryville </v>
      </c>
      <c r="C29" s="116"/>
      <c r="D29" s="116"/>
      <c r="E29" s="116"/>
      <c r="F29" s="116"/>
      <c r="G29" s="116"/>
      <c r="H29" s="64"/>
    </row>
    <row r="30" spans="2:8" ht="15">
      <c r="B30" s="28"/>
      <c r="C30" s="28"/>
      <c r="D30" s="28"/>
      <c r="E30" s="28"/>
      <c r="F30" s="28"/>
      <c r="G30" s="28"/>
      <c r="H30" s="28"/>
    </row>
    <row r="31" spans="2:8" ht="15.75">
      <c r="B31" s="116" t="str">
        <f>"With a score of  "&amp;LEFT(INDEX('Parade Recap'!$A$10:$O$13,MATCH(3,'Parade Recap'!$O$10:$O$13,),14),5)</f>
        <v>With a score of  72.44</v>
      </c>
      <c r="C31" s="116"/>
      <c r="D31" s="116"/>
      <c r="E31" s="116"/>
      <c r="H31" s="64"/>
    </row>
    <row r="32" spans="2:8" ht="15.75">
      <c r="B32" s="48"/>
      <c r="C32" s="48"/>
      <c r="D32" s="48"/>
      <c r="E32" s="48"/>
      <c r="F32" s="49"/>
      <c r="G32" s="49"/>
      <c r="H32" s="28"/>
    </row>
    <row r="33" spans="2:8" ht="15.75" customHeight="1">
      <c r="B33" s="116" t="str">
        <f>"Third is awarded to  "&amp;INDEX('Parade Recap'!$A$10:$O$13,MATCH(3,'Parade Recap'!$O$10:$O$13,),1)</f>
        <v>Third is awarded to   Pleasant Hill </v>
      </c>
      <c r="C33" s="116"/>
      <c r="D33" s="116"/>
      <c r="E33" s="116"/>
      <c r="F33" s="116"/>
      <c r="G33" s="116"/>
      <c r="H33" s="64"/>
    </row>
    <row r="34" spans="2:8" ht="15">
      <c r="B34" s="28"/>
      <c r="C34" s="28"/>
      <c r="D34" s="28"/>
      <c r="E34" s="28"/>
      <c r="F34" s="28"/>
      <c r="G34" s="28"/>
      <c r="H34" s="28"/>
    </row>
    <row r="35" spans="2:8" ht="15.75">
      <c r="B35" s="116" t="str">
        <f>"With a score of  "&amp;LEFT(INDEX('Parade Recap'!$A$10:$O$13,MATCH(2,'Parade Recap'!$O$10:$O$13,),14),5)</f>
        <v>With a score of  76.44</v>
      </c>
      <c r="C35" s="116"/>
      <c r="D35" s="116"/>
      <c r="E35" s="116"/>
      <c r="H35" s="64"/>
    </row>
    <row r="36" spans="2:8" ht="15.75">
      <c r="B36" s="48"/>
      <c r="C36" s="48"/>
      <c r="D36" s="48"/>
      <c r="E36" s="48"/>
      <c r="F36" s="49"/>
      <c r="G36" s="49"/>
      <c r="H36" s="28"/>
    </row>
    <row r="37" spans="2:8" ht="15.75" customHeight="1">
      <c r="B37" s="116" t="str">
        <f>"Second Place is awarded to  "&amp;INDEX('Parade Recap'!$A$10:$O$13,MATCH(2,'Parade Recap'!$O$10:$O$13,),1)</f>
        <v>Second Place is awarded to   Macon </v>
      </c>
      <c r="C37" s="116"/>
      <c r="D37" s="116"/>
      <c r="E37" s="116"/>
      <c r="F37" s="116"/>
      <c r="G37" s="116"/>
      <c r="H37" s="64"/>
    </row>
    <row r="38" spans="2:8" ht="15">
      <c r="B38" s="28"/>
      <c r="C38" s="28"/>
      <c r="D38" s="28"/>
      <c r="E38" s="28"/>
      <c r="F38" s="28"/>
      <c r="G38" s="28"/>
      <c r="H38" s="28"/>
    </row>
    <row r="39" spans="2:8" ht="15.75">
      <c r="B39" s="116" t="str">
        <f>"And with a score of    "&amp;LEFT(INDEX('Parade Recap'!$A$10:$O$13,MATCH(1,'Parade Recap'!$O$10:$O$13,),14),5)</f>
        <v>And with a score of    83.55</v>
      </c>
      <c r="C39" s="116"/>
      <c r="D39" s="116"/>
      <c r="E39" s="116"/>
      <c r="H39" s="64"/>
    </row>
    <row r="40" spans="2:8" ht="15.75">
      <c r="B40" s="48"/>
      <c r="C40" s="48"/>
      <c r="D40" s="48"/>
      <c r="E40" s="48"/>
      <c r="F40" s="49"/>
      <c r="G40" s="49"/>
      <c r="H40" s="28"/>
    </row>
    <row r="41" spans="2:8" ht="15.75" customHeight="1">
      <c r="B41" s="116" t="str">
        <f>"The 2008 WHITE Class Parade Champion is   "&amp;INDEX('Parade Recap'!$A$10:$O$13,MATCH(1,'Parade Recap'!$O$10:$O$13,),1)</f>
        <v>The 2008 WHITE Class Parade Champion is    Oak Grove </v>
      </c>
      <c r="C41" s="116"/>
      <c r="D41" s="116"/>
      <c r="E41" s="116"/>
      <c r="F41" s="116"/>
      <c r="G41" s="116"/>
      <c r="H41" s="64"/>
    </row>
    <row r="42" spans="2:8" ht="15">
      <c r="B42" s="28"/>
      <c r="C42" s="28"/>
      <c r="D42" s="28"/>
      <c r="E42" s="28"/>
      <c r="F42" s="28"/>
      <c r="G42" s="28"/>
      <c r="H42" s="28"/>
    </row>
    <row r="43" spans="1:2" ht="15">
      <c r="A43" s="151" t="s">
        <v>65</v>
      </c>
      <c r="B43" s="151"/>
    </row>
    <row r="44" spans="2:8" ht="15.75">
      <c r="B44" s="116" t="str">
        <f>"Now in the SILVER Class, with a score of   "&amp;LEFT(INDEX('Parade Recap'!$A$15:$O$17,MATCH(3,'Parade Recap'!$O$15:$O$17,),14),5)</f>
        <v>Now in the SILVER Class, with a score of   69.11</v>
      </c>
      <c r="C44" s="116"/>
      <c r="D44" s="116"/>
      <c r="E44" s="116"/>
      <c r="F44" s="116"/>
      <c r="G44" s="116"/>
      <c r="H44" s="64"/>
    </row>
    <row r="45" spans="2:8" ht="15.75">
      <c r="B45" s="48"/>
      <c r="C45" s="48"/>
      <c r="D45" s="48"/>
      <c r="E45" s="48"/>
      <c r="F45" s="49"/>
      <c r="G45" s="49"/>
      <c r="H45" s="28"/>
    </row>
    <row r="46" spans="2:8" ht="15.75">
      <c r="B46" s="116" t="str">
        <f>"Third Place is awarded to   "&amp;INDEX('Parade Recap'!$A$15:$O$17,MATCH(3,'Parade Recap'!$O$15:$O$17,),1)</f>
        <v>Third Place is awarded to    Center </v>
      </c>
      <c r="C46" s="116"/>
      <c r="D46" s="116"/>
      <c r="E46" s="116"/>
      <c r="F46" s="116"/>
      <c r="H46" s="64"/>
    </row>
    <row r="47" spans="2:8" ht="15">
      <c r="B47" s="28"/>
      <c r="C47" s="28"/>
      <c r="D47" s="28"/>
      <c r="E47" s="28"/>
      <c r="F47" s="28"/>
      <c r="G47" s="28"/>
      <c r="H47" s="28"/>
    </row>
    <row r="48" spans="2:8" ht="15.75">
      <c r="B48" s="116" t="str">
        <f>"With a score of   "&amp;LEFT(INDEX('Parade Recap'!$A$15:$O$17,MATCH(2,'Parade Recap'!$O$15:$O$17,),14),5)</f>
        <v>With a score of   74</v>
      </c>
      <c r="C48" s="116"/>
      <c r="D48" s="116"/>
      <c r="E48" s="116"/>
      <c r="H48" s="64"/>
    </row>
    <row r="49" spans="2:8" ht="15.75">
      <c r="B49" s="48"/>
      <c r="C49" s="48"/>
      <c r="D49" s="48"/>
      <c r="E49" s="48"/>
      <c r="F49" s="49"/>
      <c r="G49" s="49"/>
      <c r="H49" s="28"/>
    </row>
    <row r="50" spans="2:8" ht="15.75">
      <c r="B50" s="116" t="str">
        <f>"Second Place is awarded to   "&amp;INDEX('Parade Recap'!$A$15:$O$17,MATCH(2,'Parade Recap'!$O$15:$O$17,),1)</f>
        <v>Second Place is awarded to    Harrisonville </v>
      </c>
      <c r="C50" s="116"/>
      <c r="D50" s="116"/>
      <c r="E50" s="116"/>
      <c r="F50" s="116"/>
      <c r="H50" s="64"/>
    </row>
    <row r="51" spans="2:8" ht="15">
      <c r="B51" s="28"/>
      <c r="C51" s="28"/>
      <c r="D51" s="28"/>
      <c r="E51" s="28"/>
      <c r="F51" s="28"/>
      <c r="G51" s="28"/>
      <c r="H51" s="28"/>
    </row>
    <row r="52" spans="2:8" ht="15.75">
      <c r="B52" s="116" t="str">
        <f>"And with a score of   "&amp;LEFT(INDEX('Parade Recap'!$A$15:$O$17,MATCH(1,'Parade Recap'!$O$15:$O$17,),14),5)</f>
        <v>And with a score of   78.44</v>
      </c>
      <c r="C52" s="116"/>
      <c r="D52" s="116"/>
      <c r="E52" s="116"/>
      <c r="H52" s="64"/>
    </row>
    <row r="53" spans="2:8" ht="15.75">
      <c r="B53" s="48"/>
      <c r="C53" s="48"/>
      <c r="D53" s="48"/>
      <c r="E53" s="48"/>
      <c r="F53" s="49"/>
      <c r="G53" s="49"/>
      <c r="H53" s="28"/>
    </row>
    <row r="54" spans="2:8" ht="15.75">
      <c r="B54" s="116" t="str">
        <f>"The 2008 SILVER Class Parade Champion is   "&amp;INDEX('Parade Recap'!$A$15:$O$17,MATCH(1,'Parade Recap'!$O$15:$O$17,),1)</f>
        <v>The 2008 SILVER Class Parade Champion is    Fulton </v>
      </c>
      <c r="C54" s="116"/>
      <c r="D54" s="116"/>
      <c r="E54" s="116"/>
      <c r="F54" s="116"/>
      <c r="G54" s="116"/>
      <c r="H54" s="64"/>
    </row>
    <row r="56" spans="3:10" ht="15">
      <c r="C56" s="88"/>
      <c r="D56" s="88"/>
      <c r="E56" s="88"/>
      <c r="F56" s="88"/>
      <c r="G56" s="88"/>
      <c r="H56" s="88"/>
      <c r="I56" s="88"/>
      <c r="J56" s="88"/>
    </row>
    <row r="57" spans="2:8" ht="15.75">
      <c r="B57" s="116" t="str">
        <f>"Next, in the GOLD Class, with a score of   "&amp;LEFT(INDEX('Parade Recap'!$A$19:$O$21,MATCH(3,'Parade Recap'!$O$19:$O$21,),14),5)</f>
        <v>Next, in the GOLD Class, with a score of   69.88</v>
      </c>
      <c r="C57" s="116"/>
      <c r="D57" s="116"/>
      <c r="E57" s="116"/>
      <c r="F57" s="116"/>
      <c r="G57" s="116"/>
      <c r="H57" s="64"/>
    </row>
    <row r="58" spans="2:8" ht="15.75">
      <c r="B58" s="48"/>
      <c r="C58" s="48"/>
      <c r="D58" s="48"/>
      <c r="E58" s="48"/>
      <c r="F58" s="49"/>
      <c r="G58" s="49"/>
      <c r="H58" s="28"/>
    </row>
    <row r="59" spans="2:8" ht="15.75">
      <c r="B59" s="116" t="str">
        <f>"Third Place is awarded to   "&amp;INDEX('Parade Recap'!$A$19:$O$21,MATCH(3,'Parade Recap'!$O$19:$O$21,),1)</f>
        <v>Third Place is awarded to    Hickman Mills </v>
      </c>
      <c r="C59" s="116"/>
      <c r="D59" s="116"/>
      <c r="E59" s="116"/>
      <c r="F59" s="116"/>
      <c r="H59" s="64"/>
    </row>
    <row r="60" spans="2:8" ht="15">
      <c r="B60" s="28"/>
      <c r="C60" s="28"/>
      <c r="D60" s="28"/>
      <c r="E60" s="28"/>
      <c r="F60" s="28"/>
      <c r="G60" s="28"/>
      <c r="H60" s="28"/>
    </row>
    <row r="61" spans="2:8" ht="15.75">
      <c r="B61" s="116" t="str">
        <f>"With a score of   "&amp;LEFT(INDEX('Parade Recap'!$A$19:$O$21,MATCH(2,'Parade Recap'!$O$19:$O$21,),14),5)</f>
        <v>With a score of   72</v>
      </c>
      <c r="C61" s="116"/>
      <c r="D61" s="116"/>
      <c r="E61" s="116"/>
      <c r="H61" s="64"/>
    </row>
    <row r="62" spans="2:8" ht="15.75">
      <c r="B62" s="48"/>
      <c r="C62" s="48"/>
      <c r="D62" s="48"/>
      <c r="E62" s="48"/>
      <c r="F62" s="49"/>
      <c r="G62" s="49"/>
      <c r="H62" s="28"/>
    </row>
    <row r="63" spans="2:8" ht="15.75">
      <c r="B63" s="116" t="str">
        <f>"Second Place is awarded to   "&amp;INDEX('Parade Recap'!$A$19:$O$21,MATCH(2,'Parade Recap'!$O$19:$O$21,),1)</f>
        <v>Second Place is awarded to    Fort Zumwalt East </v>
      </c>
      <c r="C63" s="116"/>
      <c r="D63" s="116"/>
      <c r="E63" s="116"/>
      <c r="F63" s="116"/>
      <c r="H63" s="64"/>
    </row>
    <row r="64" spans="2:8" ht="15">
      <c r="B64" s="28"/>
      <c r="C64" s="28"/>
      <c r="D64" s="28"/>
      <c r="E64" s="28"/>
      <c r="F64" s="28"/>
      <c r="G64" s="28"/>
      <c r="H64" s="28"/>
    </row>
    <row r="65" spans="2:8" ht="15.75">
      <c r="B65" s="116" t="str">
        <f>"And with a score of   "&amp;LEFT(INDEX('Parade Recap'!$A$19:$O$21,MATCH(1,'Parade Recap'!$O$19:$O$21,),14),5)</f>
        <v>And with a score of   77.11</v>
      </c>
      <c r="C65" s="116"/>
      <c r="D65" s="116"/>
      <c r="E65" s="116"/>
      <c r="H65" s="64"/>
    </row>
    <row r="66" spans="2:8" ht="15.75">
      <c r="B66" s="48"/>
      <c r="C66" s="48"/>
      <c r="D66" s="48"/>
      <c r="E66" s="48"/>
      <c r="F66" s="49"/>
      <c r="G66" s="49"/>
      <c r="H66" s="28"/>
    </row>
    <row r="67" spans="2:8" ht="15.75">
      <c r="B67" s="116" t="str">
        <f>"The 2008 GOLD Class Parade Champion is   "&amp;INDEX('Parade Recap'!$A$19:$O$21,MATCH(1,'Parade Recap'!$O$19:$O$21,),1)</f>
        <v>The 2008 GOLD Class Parade Champion is    Warrensburg </v>
      </c>
      <c r="C67" s="116"/>
      <c r="D67" s="116"/>
      <c r="E67" s="116"/>
      <c r="F67" s="116"/>
      <c r="G67" s="116"/>
      <c r="H67" s="64"/>
    </row>
    <row r="70" spans="2:8" ht="15.75">
      <c r="B70" s="116" t="str">
        <f>"Finally, in the BLACK Class, with a score of   "&amp;LEFT(INDEX('Parade Recap'!$A$23:$O$26,MATCH(4,'Parade Recap'!$O$23:$O$26,),14),5)</f>
        <v>Finally, in the BLACK Class, with a score of   70.11</v>
      </c>
      <c r="C70" s="116"/>
      <c r="D70" s="116"/>
      <c r="E70" s="116"/>
      <c r="F70" s="116"/>
      <c r="G70" s="116"/>
      <c r="H70" s="64"/>
    </row>
    <row r="71" spans="2:8" ht="15.75">
      <c r="B71" s="48"/>
      <c r="C71" s="48"/>
      <c r="D71" s="48"/>
      <c r="E71" s="48"/>
      <c r="F71" s="49"/>
      <c r="G71" s="49"/>
      <c r="H71" s="28"/>
    </row>
    <row r="72" spans="2:8" ht="15.75">
      <c r="B72" s="116" t="str">
        <f>"Fourth Place is awarded to  "&amp;INDEX('Parade Recap'!$A$23:$O$26,MATCH(4,'Parade Recap'!$O$23:$O$26,),1)</f>
        <v>Fourth Place is awarded to   William Chrisman </v>
      </c>
      <c r="C72" s="116"/>
      <c r="D72" s="116"/>
      <c r="E72" s="116"/>
      <c r="F72" s="116"/>
      <c r="H72" s="64"/>
    </row>
    <row r="73" spans="2:8" ht="15">
      <c r="B73" s="28"/>
      <c r="C73" s="28"/>
      <c r="D73" s="28"/>
      <c r="E73" s="28"/>
      <c r="F73" s="28"/>
      <c r="G73" s="28"/>
      <c r="H73" s="28"/>
    </row>
    <row r="74" spans="2:8" ht="15.75">
      <c r="B74" s="116" t="str">
        <f>"With a score of   "&amp;LEFT(INDEX('Parade Recap'!$A$23:$O$26,MATCH(3,'Parade Recap'!$O$23:$O$26,),14),5)</f>
        <v>With a score of   75.33</v>
      </c>
      <c r="C74" s="116"/>
      <c r="D74" s="116"/>
      <c r="E74" s="116"/>
      <c r="H74" s="64"/>
    </row>
    <row r="75" spans="2:8" ht="15.75">
      <c r="B75" s="48"/>
      <c r="C75" s="48"/>
      <c r="D75" s="48"/>
      <c r="E75" s="48"/>
      <c r="F75" s="49"/>
      <c r="G75" s="49"/>
      <c r="H75" s="28"/>
    </row>
    <row r="76" spans="2:8" ht="15.75">
      <c r="B76" s="116" t="str">
        <f>"Third Place is awarded to  "&amp;INDEX('Parade Recap'!$A$23:$O$26,MATCH(3,'Parade Recap'!$O$23:$O$26,),1)</f>
        <v>Third Place is awarded to   Rockbridge </v>
      </c>
      <c r="C76" s="116"/>
      <c r="D76" s="116"/>
      <c r="E76" s="116"/>
      <c r="F76" s="116"/>
      <c r="H76" s="64"/>
    </row>
    <row r="77" spans="2:8" ht="15">
      <c r="B77" s="28"/>
      <c r="C77" s="28"/>
      <c r="D77" s="28"/>
      <c r="E77" s="28"/>
      <c r="F77" s="28"/>
      <c r="G77" s="28"/>
      <c r="H77" s="28"/>
    </row>
    <row r="78" spans="2:8" ht="15.75">
      <c r="B78" s="116" t="str">
        <f>"With a score of   "&amp;LEFT(INDEX('Parade Recap'!$A$23:$O$26,MATCH(2,'Parade Recap'!$O$23:$O$26,),14),5)</f>
        <v>With a score of   76.11</v>
      </c>
      <c r="C78" s="116"/>
      <c r="D78" s="116"/>
      <c r="E78" s="116"/>
      <c r="H78" s="64"/>
    </row>
    <row r="79" spans="2:8" ht="15.75">
      <c r="B79" s="48"/>
      <c r="C79" s="48"/>
      <c r="D79" s="48"/>
      <c r="E79" s="48"/>
      <c r="F79" s="49"/>
      <c r="G79" s="49"/>
      <c r="H79" s="28"/>
    </row>
    <row r="80" spans="2:8" ht="15.75">
      <c r="B80" s="116" t="str">
        <f>"Second Place is awarded to  "&amp;INDEX('Parade Recap'!$A$23:$O$26,MATCH(2,'Parade Recap'!$O$23:$O$26,),1)</f>
        <v>Second Place is awarded to   Park Hill </v>
      </c>
      <c r="C80" s="116"/>
      <c r="D80" s="116"/>
      <c r="E80" s="116"/>
      <c r="F80" s="116"/>
      <c r="H80" s="64"/>
    </row>
    <row r="81" spans="2:8" ht="15">
      <c r="B81" s="28"/>
      <c r="C81" s="28"/>
      <c r="D81" s="28"/>
      <c r="E81" s="28"/>
      <c r="F81" s="28"/>
      <c r="G81" s="28"/>
      <c r="H81" s="28"/>
    </row>
    <row r="82" spans="2:8" ht="15.75">
      <c r="B82" s="116" t="str">
        <f>"And with a score of   "&amp;LEFT(INDEX('Parade Recap'!$A$23:$O$26,MATCH(1,'Parade Recap'!$O$23:$O$26,),14),5)</f>
        <v>And with a score of   76.88</v>
      </c>
      <c r="C82" s="116"/>
      <c r="D82" s="116"/>
      <c r="E82" s="116"/>
      <c r="H82" s="64"/>
    </row>
    <row r="83" spans="2:8" ht="15.75">
      <c r="B83" s="48"/>
      <c r="C83" s="48"/>
      <c r="D83" s="48"/>
      <c r="E83" s="48"/>
      <c r="F83" s="49"/>
      <c r="G83" s="49"/>
      <c r="H83" s="28"/>
    </row>
    <row r="84" spans="2:8" ht="15.75">
      <c r="B84" s="116" t="str">
        <f>"The 2008 BLACK Class Parade Champion is  "&amp;INDEX('Parade Recap'!$A$23:$O$26,MATCH(1,'Parade Recap'!$O$23:$O$26,),1)</f>
        <v>The 2008 BLACK Class Parade Champion is   Raymore-Peculiar </v>
      </c>
      <c r="C84" s="116"/>
      <c r="D84" s="116"/>
      <c r="E84" s="116"/>
      <c r="F84" s="116"/>
      <c r="G84" s="116"/>
      <c r="H84" s="64"/>
    </row>
    <row r="86" spans="1:9" ht="15">
      <c r="A86" s="151" t="s">
        <v>72</v>
      </c>
      <c r="B86" s="151"/>
      <c r="C86" s="88"/>
      <c r="D86" s="88"/>
      <c r="E86" s="88"/>
      <c r="F86" s="88"/>
      <c r="G86" s="88"/>
      <c r="H86" s="88"/>
      <c r="I86" s="88"/>
    </row>
    <row r="87" ht="15.75">
      <c r="A87" s="27" t="s">
        <v>118</v>
      </c>
    </row>
    <row r="88" ht="15.75">
      <c r="A88" s="27"/>
    </row>
    <row r="89" spans="2:8" ht="15.75">
      <c r="B89" s="116" t="str">
        <f>"Moving to the Medium Class, with a score of   "&amp;LEFT(INDEX(Indoor!$A$6:$E$8,MATCH(3,Indoor!$E$6:$E$8,),4),5)</f>
        <v>Moving to the Medium Class, with a score of   132</v>
      </c>
      <c r="C89" s="116"/>
      <c r="D89" s="116"/>
      <c r="E89" s="116"/>
      <c r="H89" s="64"/>
    </row>
    <row r="90" spans="2:8" ht="15.75">
      <c r="B90" s="48"/>
      <c r="C90" s="48"/>
      <c r="D90" s="48"/>
      <c r="E90" s="48"/>
      <c r="F90" s="49"/>
      <c r="G90" s="49"/>
      <c r="H90" s="28"/>
    </row>
    <row r="91" spans="2:8" ht="15.75">
      <c r="B91" s="116" t="str">
        <f>"Third Place is awarded to  "&amp;INDEX(Indoor!$A$6:$E$8,MATCH(3,Indoor!$E$6:$E$8,),1)</f>
        <v>Third Place is awarded to  Pleasant Hill</v>
      </c>
      <c r="C91" s="116"/>
      <c r="D91" s="116"/>
      <c r="E91" s="116"/>
      <c r="F91" s="116"/>
      <c r="H91" s="64"/>
    </row>
    <row r="92" spans="2:8" ht="15">
      <c r="B92" s="28"/>
      <c r="C92" s="28"/>
      <c r="D92" s="28"/>
      <c r="E92" s="28"/>
      <c r="F92" s="28"/>
      <c r="G92" s="28"/>
      <c r="H92" s="28"/>
    </row>
    <row r="93" spans="2:8" ht="15.75">
      <c r="B93" s="116" t="str">
        <f>"With a score of   "&amp;LEFT(INDEX(Indoor!$A$6:$E$8,MATCH(2,Indoor!$E$6:$E$8,),4),5)</f>
        <v>With a score of   135</v>
      </c>
      <c r="C93" s="116"/>
      <c r="D93" s="116"/>
      <c r="E93" s="116"/>
      <c r="H93" s="64"/>
    </row>
    <row r="94" spans="2:8" ht="15.75">
      <c r="B94" s="48"/>
      <c r="C94" s="48"/>
      <c r="D94" s="48"/>
      <c r="E94" s="48"/>
      <c r="F94" s="49"/>
      <c r="G94" s="49"/>
      <c r="H94" s="28"/>
    </row>
    <row r="95" spans="2:8" ht="15.75">
      <c r="B95" s="116" t="str">
        <f>"Second Place is awarded to  "&amp;INDEX(Indoor!$A$6:$E$8,MATCH(2,Indoor!$E$6:$E$8,),1)</f>
        <v>Second Place is awarded to  Oak Grove</v>
      </c>
      <c r="C95" s="116"/>
      <c r="D95" s="116"/>
      <c r="E95" s="116"/>
      <c r="F95" s="116"/>
      <c r="H95" s="64"/>
    </row>
    <row r="96" spans="2:8" ht="15">
      <c r="B96" s="28"/>
      <c r="C96" s="28"/>
      <c r="D96" s="28"/>
      <c r="E96" s="28"/>
      <c r="F96" s="28"/>
      <c r="G96" s="28"/>
      <c r="H96" s="28"/>
    </row>
    <row r="97" spans="2:8" ht="15.75">
      <c r="B97" s="116" t="str">
        <f>"And with a score of   "&amp;LEFT(INDEX(Indoor!$A$6:$E$8,MATCH(1,Indoor!$E$6:$E$8,),4),5)</f>
        <v>And with a score of   155</v>
      </c>
      <c r="C97" s="116"/>
      <c r="D97" s="116"/>
      <c r="E97" s="116"/>
      <c r="H97" s="64"/>
    </row>
    <row r="98" spans="2:8" ht="15.75">
      <c r="B98" s="48"/>
      <c r="C98" s="48"/>
      <c r="D98" s="48"/>
      <c r="E98" s="48"/>
      <c r="F98" s="49"/>
      <c r="G98" s="49"/>
      <c r="H98" s="28"/>
    </row>
    <row r="99" spans="2:8" ht="15.75">
      <c r="B99" s="116" t="str">
        <f>"The 2008 Small Class Indoor Percussion Champion is  "&amp;INDEX(Indoor!$A$6:$E$8,MATCH(1,Indoor!$E$6:$E$8,),1)</f>
        <v>The 2008 Small Class Indoor Percussion Champion is  Harrisonville</v>
      </c>
      <c r="C99" s="116"/>
      <c r="D99" s="116"/>
      <c r="E99" s="116"/>
      <c r="F99" s="116"/>
      <c r="G99" s="116"/>
      <c r="H99" s="64"/>
    </row>
    <row r="101" spans="2:8" ht="15.75">
      <c r="B101" s="116" t="str">
        <f>"Moving to the Medium Class, with a score of   "&amp;LEFT(INDEX(Indoor!$A$10:$E$13,MATCH(4,Indoor!$E$10:$E$13,),4),5)</f>
        <v>Moving to the Medium Class, with a score of   132</v>
      </c>
      <c r="C101" s="116"/>
      <c r="D101" s="116"/>
      <c r="E101" s="116"/>
      <c r="F101" s="116"/>
      <c r="G101" s="116"/>
      <c r="H101" s="64"/>
    </row>
    <row r="102" spans="2:8" ht="15.75">
      <c r="B102" s="48"/>
      <c r="C102" s="48"/>
      <c r="D102" s="48"/>
      <c r="E102" s="48"/>
      <c r="F102" s="49"/>
      <c r="G102" s="49"/>
      <c r="H102" s="28"/>
    </row>
    <row r="103" spans="2:8" ht="15.75">
      <c r="B103" s="116" t="str">
        <f>"Fourth Place is awarded to  "&amp;INDEX(Indoor!$A$10:$E$13,MATCH(4,Indoor!$E$10:$E$13,),1)</f>
        <v>Fourth Place is awarded to   Sherwood </v>
      </c>
      <c r="C103" s="116"/>
      <c r="D103" s="116"/>
      <c r="E103" s="116"/>
      <c r="F103" s="116"/>
      <c r="H103" s="64"/>
    </row>
    <row r="104" spans="2:8" ht="15">
      <c r="B104" s="28"/>
      <c r="C104" s="28"/>
      <c r="D104" s="28"/>
      <c r="E104" s="28"/>
      <c r="F104" s="28"/>
      <c r="G104" s="28"/>
      <c r="H104" s="28"/>
    </row>
    <row r="105" spans="2:8" ht="15.75">
      <c r="B105" s="116" t="str">
        <f>"With a score of   "&amp;LEFT(INDEX(Indoor!$A$10:$E$13,MATCH(3,Indoor!$E$10:$E$13,),4),5)</f>
        <v>With a score of   136</v>
      </c>
      <c r="C105" s="116"/>
      <c r="D105" s="116"/>
      <c r="E105" s="116"/>
      <c r="H105" s="64"/>
    </row>
    <row r="106" spans="2:8" ht="15.75">
      <c r="B106" s="48"/>
      <c r="C106" s="48"/>
      <c r="D106" s="48"/>
      <c r="E106" s="48"/>
      <c r="F106" s="49"/>
      <c r="G106" s="49"/>
      <c r="H106" s="28"/>
    </row>
    <row r="107" spans="2:8" ht="15.75">
      <c r="B107" s="116" t="str">
        <f>"Third Place is awarded to  "&amp;INDEX(Indoor!$A$10:$E$13,MATCH(3,Indoor!$E$10:$E$13,),1)</f>
        <v>Third Place is awarded to   Trenton </v>
      </c>
      <c r="C107" s="116"/>
      <c r="D107" s="116"/>
      <c r="E107" s="116"/>
      <c r="F107" s="116"/>
      <c r="H107" s="64"/>
    </row>
    <row r="108" spans="2:8" ht="15">
      <c r="B108" s="28"/>
      <c r="C108" s="28"/>
      <c r="D108" s="28"/>
      <c r="E108" s="28"/>
      <c r="F108" s="28"/>
      <c r="G108" s="28"/>
      <c r="H108" s="28"/>
    </row>
    <row r="109" spans="2:8" ht="15.75">
      <c r="B109" s="116" t="str">
        <f>"With a score of   "&amp;LEFT(INDEX(Indoor!$A$10:$E$13,MATCH(2,Indoor!$E$10:$E$13,),4),5)</f>
        <v>With a score of   140</v>
      </c>
      <c r="C109" s="116"/>
      <c r="D109" s="116"/>
      <c r="E109" s="116"/>
      <c r="H109" s="64"/>
    </row>
    <row r="110" spans="2:8" ht="15.75">
      <c r="B110" s="48"/>
      <c r="C110" s="48"/>
      <c r="D110" s="48"/>
      <c r="E110" s="48"/>
      <c r="F110" s="49"/>
      <c r="G110" s="49"/>
      <c r="H110" s="28"/>
    </row>
    <row r="111" spans="2:8" ht="15.75">
      <c r="B111" s="116" t="str">
        <f>"Second Place is awarded to  "&amp;INDEX(Indoor!$A$10:$E$13,MATCH(2,Indoor!$E$10:$E$13,),1)</f>
        <v>Second Place is awarded to   Maryville </v>
      </c>
      <c r="C111" s="116"/>
      <c r="D111" s="116"/>
      <c r="E111" s="116"/>
      <c r="F111" s="116"/>
      <c r="H111" s="64"/>
    </row>
    <row r="112" spans="2:8" ht="15">
      <c r="B112" s="28"/>
      <c r="C112" s="28"/>
      <c r="D112" s="28"/>
      <c r="E112" s="28"/>
      <c r="F112" s="28"/>
      <c r="G112" s="28"/>
      <c r="H112" s="28"/>
    </row>
    <row r="113" spans="2:8" ht="15.75">
      <c r="B113" s="116" t="str">
        <f>"And with a score of   "&amp;LEFT(INDEX(Indoor!$A$10:$E$13,MATCH(1,Indoor!$E$10:$E$13,),4),5)</f>
        <v>And with a score of   150</v>
      </c>
      <c r="C113" s="116"/>
      <c r="D113" s="116"/>
      <c r="E113" s="116"/>
      <c r="H113" s="64"/>
    </row>
    <row r="114" spans="2:8" ht="15.75">
      <c r="B114" s="48"/>
      <c r="C114" s="48"/>
      <c r="D114" s="48"/>
      <c r="E114" s="48"/>
      <c r="F114" s="49"/>
      <c r="G114" s="49"/>
      <c r="H114" s="28"/>
    </row>
    <row r="115" spans="2:8" ht="15.75">
      <c r="B115" s="116" t="str">
        <f>"The 2008 Medium Class Indoor Percussion Champion is  "&amp;INDEX(Indoor!$A$10:$E$13,MATCH(1,Indoor!$E$10:$E$13,),1)</f>
        <v>The 2008 Medium Class Indoor Percussion Champion is   Macon </v>
      </c>
      <c r="C115" s="116"/>
      <c r="D115" s="116"/>
      <c r="E115" s="116"/>
      <c r="F115" s="116"/>
      <c r="H115" s="64"/>
    </row>
    <row r="116" spans="2:8" ht="15">
      <c r="B116" s="28"/>
      <c r="C116" s="28"/>
      <c r="D116" s="28"/>
      <c r="E116" s="28"/>
      <c r="F116" s="28"/>
      <c r="G116" s="28"/>
      <c r="H116" s="28"/>
    </row>
    <row r="117" spans="2:8" ht="15.75">
      <c r="B117" s="116" t="str">
        <f>"Finally, in the Large Class, with a score of   "&amp;LEFT(INDEX(Indoor!$A$15:$E$17,MATCH(3,Indoor!$E$15:$E$17,),4),5)</f>
        <v>Finally, in the Large Class, with a score of   155</v>
      </c>
      <c r="C117" s="116"/>
      <c r="D117" s="116"/>
      <c r="E117" s="116"/>
      <c r="H117" s="64"/>
    </row>
    <row r="118" spans="2:8" ht="15.75">
      <c r="B118" s="48"/>
      <c r="C118" s="48"/>
      <c r="D118" s="48"/>
      <c r="E118" s="48"/>
      <c r="F118" s="49"/>
      <c r="G118" s="49"/>
      <c r="H118" s="28"/>
    </row>
    <row r="119" spans="2:8" ht="15.75">
      <c r="B119" s="116" t="str">
        <f>"Third Place is awarded to  "&amp;INDEX(Indoor!$A$15:$E$17,MATCH(3,Indoor!$E$15:$E$17,),1)</f>
        <v>Third Place is awarded to   Warrensburg </v>
      </c>
      <c r="C119" s="116"/>
      <c r="D119" s="116"/>
      <c r="E119" s="116"/>
      <c r="F119" s="116"/>
      <c r="H119" s="64"/>
    </row>
    <row r="120" spans="2:8" ht="15">
      <c r="B120" s="28"/>
      <c r="C120" s="28"/>
      <c r="D120" s="28"/>
      <c r="E120" s="28"/>
      <c r="F120" s="28"/>
      <c r="G120" s="28"/>
      <c r="H120" s="28"/>
    </row>
    <row r="121" spans="2:8" ht="15.75">
      <c r="B121" s="116" t="str">
        <f>"With a score of  "&amp;LEFT(INDEX(Indoor!$A$15:$E$17,MATCH(2,Indoor!$E$15:$E$17,),4),5)</f>
        <v>With a score of  162</v>
      </c>
      <c r="C121" s="116"/>
      <c r="D121" s="116"/>
      <c r="E121" s="116"/>
      <c r="H121" s="64"/>
    </row>
    <row r="122" spans="2:8" ht="15.75">
      <c r="B122" s="48"/>
      <c r="C122" s="48"/>
      <c r="D122" s="48"/>
      <c r="E122" s="48"/>
      <c r="F122" s="49"/>
      <c r="G122" s="49"/>
      <c r="H122" s="28"/>
    </row>
    <row r="123" spans="2:8" ht="15.75">
      <c r="B123" s="116" t="str">
        <f>"Second Place is awarded to  "&amp;INDEX(Indoor!$A$15:$E$17,MATCH(2,Indoor!$E$15:$E$17,),1)</f>
        <v>Second Place is awarded to   Park Hill </v>
      </c>
      <c r="C123" s="116"/>
      <c r="D123" s="116"/>
      <c r="E123" s="116"/>
      <c r="F123" s="116"/>
      <c r="H123" s="64"/>
    </row>
    <row r="124" spans="2:8" ht="15">
      <c r="B124" s="28"/>
      <c r="C124" s="28"/>
      <c r="D124" s="28"/>
      <c r="E124" s="28"/>
      <c r="F124" s="28"/>
      <c r="G124" s="28"/>
      <c r="H124" s="28"/>
    </row>
    <row r="125" spans="2:8" ht="15.75">
      <c r="B125" s="116" t="str">
        <f>"And with a score of   "&amp;LEFT(INDEX(Indoor!$A$15:$E$17,MATCH(1,Indoor!$E$15:$E$17,),4),5)</f>
        <v>And with a score of   175</v>
      </c>
      <c r="C125" s="116"/>
      <c r="D125" s="116"/>
      <c r="E125" s="116"/>
      <c r="H125" s="64"/>
    </row>
    <row r="126" spans="2:8" ht="15.75">
      <c r="B126" s="48"/>
      <c r="C126" s="48"/>
      <c r="D126" s="48"/>
      <c r="E126" s="48"/>
      <c r="F126" s="49"/>
      <c r="G126" s="49"/>
      <c r="H126" s="28"/>
    </row>
    <row r="127" spans="2:8" ht="15.75">
      <c r="B127" s="116" t="str">
        <f>"The 2008 Large Class Indoor Percussion Champion is  "&amp;INDEX(Indoor!$A$15:$E$17,MATCH(1,Indoor!$E$15:$E$17,),1)</f>
        <v>The 2008 Large Class Indoor Percussion Champion is   Rock Bridge </v>
      </c>
      <c r="C127" s="116"/>
      <c r="D127" s="116"/>
      <c r="E127" s="116"/>
      <c r="F127" s="116"/>
      <c r="G127" s="116"/>
      <c r="H127" s="64"/>
    </row>
    <row r="129" spans="1:9" ht="15">
      <c r="A129" s="151" t="s">
        <v>73</v>
      </c>
      <c r="B129" s="151"/>
      <c r="C129" s="88"/>
      <c r="D129" s="88"/>
      <c r="E129" s="88"/>
      <c r="F129" s="88"/>
      <c r="G129" s="88"/>
      <c r="H129" s="88"/>
      <c r="I129" s="88"/>
    </row>
    <row r="130" ht="15.75">
      <c r="A130" s="27" t="s">
        <v>119</v>
      </c>
    </row>
    <row r="131" ht="6" customHeight="1">
      <c r="A131" s="27"/>
    </row>
    <row r="132" spans="2:8" ht="15.75">
      <c r="B132" s="116" t="str">
        <f>"In the Samll class, With a score of  "&amp;LEFT(INDEX(Indoor!$A$26:$E$29,MATCH(4,Indoor!$E$26:$E$29,),4),5)</f>
        <v>In the Samll class, With a score of  107</v>
      </c>
      <c r="C132" s="116"/>
      <c r="D132" s="116"/>
      <c r="E132" s="116"/>
      <c r="F132" s="116"/>
      <c r="G132" s="116"/>
      <c r="H132" s="64"/>
    </row>
    <row r="133" spans="2:8" ht="15.75">
      <c r="B133" s="48"/>
      <c r="C133" s="48"/>
      <c r="D133" s="48"/>
      <c r="E133" s="48"/>
      <c r="F133" s="49"/>
      <c r="G133" s="49"/>
      <c r="H133" s="28"/>
    </row>
    <row r="134" spans="2:8" ht="15.75">
      <c r="B134" s="116" t="str">
        <f>"Fourth Place is awarded to  "&amp;INDEX(Indoor!$A$26:$E$29,MATCH(4,Indoor!$E$26:$E$29,),1)</f>
        <v>Fourth Place is awarded to   Macon </v>
      </c>
      <c r="C134" s="116"/>
      <c r="D134" s="116"/>
      <c r="E134" s="116"/>
      <c r="F134" s="116"/>
      <c r="H134" s="64"/>
    </row>
    <row r="135" spans="2:8" ht="15">
      <c r="B135" s="28"/>
      <c r="C135" s="28"/>
      <c r="D135" s="28"/>
      <c r="E135" s="28"/>
      <c r="F135" s="28"/>
      <c r="G135" s="28"/>
      <c r="H135" s="28"/>
    </row>
    <row r="136" spans="2:8" ht="15.75">
      <c r="B136" s="116" t="str">
        <f>"With a score of  "&amp;LEFT(INDEX(Indoor!$A$26:$E$29,MATCH(3,Indoor!$E$26:$E$29,),4),5)</f>
        <v>With a score of  113</v>
      </c>
      <c r="C136" s="116"/>
      <c r="D136" s="116"/>
      <c r="E136" s="116"/>
      <c r="F136" s="116"/>
      <c r="G136" s="116"/>
      <c r="H136" s="64"/>
    </row>
    <row r="137" spans="2:8" ht="15.75">
      <c r="B137" s="48"/>
      <c r="C137" s="48"/>
      <c r="D137" s="48"/>
      <c r="E137" s="48"/>
      <c r="F137" s="49"/>
      <c r="G137" s="49"/>
      <c r="H137" s="28"/>
    </row>
    <row r="138" spans="2:8" ht="15.75">
      <c r="B138" s="116" t="str">
        <f>"Third Place is awarded to  "&amp;INDEX(Indoor!$A$26:$E$29,MATCH(3,Indoor!$E$26:$E$29,),1)</f>
        <v>Third Place is awarded to   Trenton </v>
      </c>
      <c r="C138" s="116"/>
      <c r="D138" s="116"/>
      <c r="E138" s="116"/>
      <c r="F138" s="116"/>
      <c r="H138" s="64"/>
    </row>
    <row r="139" spans="2:8" ht="15">
      <c r="B139" s="28"/>
      <c r="C139" s="28"/>
      <c r="D139" s="28"/>
      <c r="E139" s="28"/>
      <c r="F139" s="28"/>
      <c r="G139" s="28"/>
      <c r="H139" s="28"/>
    </row>
    <row r="140" spans="2:8" ht="15.75">
      <c r="B140" s="116" t="str">
        <f>"With a score of  "&amp;LEFT(INDEX(Indoor!$A$26:$E$29,MATCH(2,Indoor!$E$26:$E$29,),4),5)</f>
        <v>With a score of  137</v>
      </c>
      <c r="C140" s="116"/>
      <c r="D140" s="116"/>
      <c r="E140" s="116"/>
      <c r="F140" s="116"/>
      <c r="G140" s="116"/>
      <c r="H140" s="64"/>
    </row>
    <row r="141" spans="2:8" ht="15.75">
      <c r="B141" s="48"/>
      <c r="C141" s="48"/>
      <c r="D141" s="48"/>
      <c r="E141" s="48"/>
      <c r="F141" s="49"/>
      <c r="G141" s="49"/>
      <c r="H141" s="28"/>
    </row>
    <row r="142" spans="2:8" ht="15.75">
      <c r="B142" s="116" t="str">
        <f>"Second Place is awarded to  "&amp;INDEX(Indoor!$A$26:$E$29,MATCH(2,Indoor!$E$26:$E$29,),1)</f>
        <v>Second Place is awarded to   Lone Jack </v>
      </c>
      <c r="C142" s="116"/>
      <c r="D142" s="116"/>
      <c r="E142" s="116"/>
      <c r="F142" s="116"/>
      <c r="H142" s="64"/>
    </row>
    <row r="143" spans="2:8" ht="15">
      <c r="B143" s="28"/>
      <c r="C143" s="28"/>
      <c r="D143" s="28"/>
      <c r="E143" s="28"/>
      <c r="F143" s="28"/>
      <c r="G143" s="28"/>
      <c r="H143" s="28"/>
    </row>
    <row r="144" spans="2:8" ht="15.75">
      <c r="B144" s="116" t="str">
        <f>"And with a score of   "&amp;LEFT(INDEX(Indoor!$A$26:$E$29,MATCH(1,Indoor!$E$26:$E$29,),4),5)</f>
        <v>And with a score of   138</v>
      </c>
      <c r="C144" s="116"/>
      <c r="D144" s="116"/>
      <c r="E144" s="116"/>
      <c r="H144" s="64"/>
    </row>
    <row r="145" spans="2:8" ht="15.75">
      <c r="B145" s="48"/>
      <c r="C145" s="48"/>
      <c r="D145" s="48"/>
      <c r="E145" s="48"/>
      <c r="F145" s="49"/>
      <c r="G145" s="49"/>
      <c r="H145" s="28"/>
    </row>
    <row r="146" spans="2:8" ht="15.75">
      <c r="B146" s="116" t="str">
        <f>"The 2008 Small Class Indoor Auxiliary Champion is "&amp;INDEX(Indoor!$A$26:$E$29,MATCH(1,Indoor!$E$26:$E$29,),1)</f>
        <v>The 2008 Small Class Indoor Auxiliary Champion is  Maryville </v>
      </c>
      <c r="C146" s="116"/>
      <c r="D146" s="116"/>
      <c r="E146" s="116"/>
      <c r="F146" s="116"/>
      <c r="G146" s="116"/>
      <c r="H146" s="64"/>
    </row>
    <row r="148" spans="2:8" ht="15.75">
      <c r="B148" s="116" t="str">
        <f>"Moving to the Medium Class, with a score of  "&amp;LEFT(INDEX(Indoor!$A$31:$E$32,MATCH(2,Indoor!$E$31:$E$32,),4),5)</f>
        <v>Moving to the Medium Class, with a score of  119</v>
      </c>
      <c r="C148" s="116"/>
      <c r="D148" s="116"/>
      <c r="E148" s="116"/>
      <c r="F148" s="116"/>
      <c r="G148" s="116"/>
      <c r="H148" s="64"/>
    </row>
    <row r="149" spans="2:8" ht="15.75">
      <c r="B149" s="48"/>
      <c r="C149" s="48"/>
      <c r="D149" s="48"/>
      <c r="E149" s="48"/>
      <c r="F149" s="49"/>
      <c r="G149" s="49"/>
      <c r="H149" s="28"/>
    </row>
    <row r="150" spans="2:8" ht="15.75">
      <c r="B150" s="116" t="str">
        <f>"Second Place is awarded to  "&amp;INDEX(Indoor!$A$31:$E$32,MATCH(2,Indoor!$E$31:$E$32,),1)</f>
        <v>Second Place is awarded to   Center </v>
      </c>
      <c r="C150" s="116"/>
      <c r="D150" s="116"/>
      <c r="E150" s="116"/>
      <c r="F150" s="116"/>
      <c r="H150" s="64"/>
    </row>
    <row r="151" spans="2:8" ht="15">
      <c r="B151" s="28"/>
      <c r="C151" s="28"/>
      <c r="D151" s="28"/>
      <c r="E151" s="28"/>
      <c r="F151" s="28"/>
      <c r="G151" s="28"/>
      <c r="H151" s="28"/>
    </row>
    <row r="152" spans="2:8" ht="15.75">
      <c r="B152" s="116" t="str">
        <f>"And with a score of   "&amp;LEFT(INDEX(Indoor!$A$31:$E$32,MATCH(1,Indoor!$E$31:$E$32,),4),5)</f>
        <v>And with a score of   149</v>
      </c>
      <c r="C152" s="116"/>
      <c r="D152" s="116"/>
      <c r="E152" s="116"/>
      <c r="H152" s="64"/>
    </row>
    <row r="153" spans="2:8" ht="15.75">
      <c r="B153" s="48"/>
      <c r="C153" s="48"/>
      <c r="D153" s="48"/>
      <c r="E153" s="48"/>
      <c r="F153" s="49"/>
      <c r="G153" s="49"/>
      <c r="H153" s="28"/>
    </row>
    <row r="154" spans="2:8" ht="15.75">
      <c r="B154" s="116" t="str">
        <f>"The 2008 Medium Class Indoor Auxiliary Champion is "&amp;INDEX(Indoor!$A$31:$E$32,MATCH(1,Indoor!$E$31:$E$32,),1)</f>
        <v>The 2008 Medium Class Indoor Auxiliary Champion is  Oak Grove </v>
      </c>
      <c r="C154" s="116"/>
      <c r="D154" s="116"/>
      <c r="E154" s="116"/>
      <c r="F154" s="116"/>
      <c r="G154" s="116"/>
      <c r="H154" s="64"/>
    </row>
    <row r="156" spans="2:8" ht="15.75">
      <c r="B156" s="116" t="str">
        <f>"And in the Large Class, with a score of  "&amp;LEFT(INDEX(Indoor!$A$34:$E$36,MATCH(3,Indoor!$E$34:$E$36,),4),5)</f>
        <v>And in the Large Class, with a score of  132</v>
      </c>
      <c r="C156" s="116"/>
      <c r="D156" s="116"/>
      <c r="E156" s="116"/>
      <c r="F156" s="116"/>
      <c r="G156" s="116"/>
      <c r="H156" s="64"/>
    </row>
    <row r="157" spans="2:8" ht="15.75">
      <c r="B157" s="48"/>
      <c r="C157" s="48"/>
      <c r="D157" s="48"/>
      <c r="E157" s="48"/>
      <c r="F157" s="49"/>
      <c r="G157" s="49"/>
      <c r="H157" s="28"/>
    </row>
    <row r="158" spans="2:8" ht="15.75">
      <c r="B158" s="116" t="str">
        <f>"Third Place is awarded to  "&amp;INDEX(Indoor!$A$34:$E$36,MATCH(3,Indoor!$E$34:$E$36,),1)</f>
        <v>Third Place is awarded to   Park Hill </v>
      </c>
      <c r="C158" s="116"/>
      <c r="D158" s="116"/>
      <c r="E158" s="116"/>
      <c r="F158" s="116"/>
      <c r="H158" s="64"/>
    </row>
    <row r="159" spans="2:8" ht="15">
      <c r="B159" s="28"/>
      <c r="C159" s="28"/>
      <c r="D159" s="28"/>
      <c r="E159" s="28"/>
      <c r="F159" s="28"/>
      <c r="G159" s="28"/>
      <c r="H159" s="28"/>
    </row>
    <row r="160" spans="2:8" ht="15.75">
      <c r="B160" s="116" t="str">
        <f>"With a score of  "&amp;LEFT(INDEX(Indoor!$A$34:$E$36,MATCH(2,Indoor!$E$34:$E$36,),4),5)</f>
        <v>With a score of  159</v>
      </c>
      <c r="C160" s="116"/>
      <c r="D160" s="116"/>
      <c r="E160" s="116"/>
      <c r="F160" s="116"/>
      <c r="G160" s="116"/>
      <c r="H160" s="64"/>
    </row>
    <row r="161" spans="2:8" ht="15.75">
      <c r="B161" s="48"/>
      <c r="C161" s="48"/>
      <c r="D161" s="48"/>
      <c r="E161" s="48"/>
      <c r="F161" s="49"/>
      <c r="G161" s="49"/>
      <c r="H161" s="28"/>
    </row>
    <row r="162" spans="2:8" ht="15.75">
      <c r="B162" s="116" t="str">
        <f>"Second Place is awarded to  "&amp;INDEX(Indoor!$A$34:$E$36,MATCH(2,Indoor!$E$34:$E$36,),1)</f>
        <v>Second Place is awarded to   Hickman Mills </v>
      </c>
      <c r="C162" s="116"/>
      <c r="D162" s="116"/>
      <c r="E162" s="116"/>
      <c r="F162" s="116"/>
      <c r="H162" s="64"/>
    </row>
    <row r="163" spans="2:8" ht="15">
      <c r="B163" s="28"/>
      <c r="C163" s="28"/>
      <c r="D163" s="28"/>
      <c r="E163" s="28"/>
      <c r="F163" s="28"/>
      <c r="G163" s="28"/>
      <c r="H163" s="28"/>
    </row>
    <row r="164" spans="2:8" ht="15.75">
      <c r="B164" s="116" t="str">
        <f>"And with a score of   "&amp;LEFT(INDEX(Indoor!$A$31:$E$36,MATCH(1,Indoor!$E$31:$E$36,),4),5)</f>
        <v>And with a score of   149</v>
      </c>
      <c r="C164" s="116"/>
      <c r="D164" s="116"/>
      <c r="E164" s="116"/>
      <c r="H164" s="64"/>
    </row>
    <row r="165" spans="2:8" ht="15.75">
      <c r="B165" s="48"/>
      <c r="C165" s="48"/>
      <c r="D165" s="48"/>
      <c r="E165" s="48"/>
      <c r="F165" s="49"/>
      <c r="G165" s="49"/>
      <c r="H165" s="28"/>
    </row>
    <row r="166" spans="2:8" ht="15.75">
      <c r="B166" s="116" t="str">
        <f>"The 2008 Large Class Indoor Auxiliary Champion is  "&amp;INDEX(Indoor!$A$34:$E$36,MATCH(1,Indoor!$E$34:$E$36,),1)</f>
        <v>The 2008 Large Class Indoor Auxiliary Champion is   Warrensburg </v>
      </c>
      <c r="C166" s="116"/>
      <c r="D166" s="116"/>
      <c r="E166" s="116"/>
      <c r="F166" s="116"/>
      <c r="G166" s="116"/>
      <c r="H166" s="64"/>
    </row>
    <row r="167" ht="6" customHeight="1"/>
    <row r="168" spans="1:9" ht="15">
      <c r="A168" s="151" t="s">
        <v>74</v>
      </c>
      <c r="B168" s="151"/>
      <c r="C168" s="88"/>
      <c r="D168" s="88"/>
      <c r="E168" s="88"/>
      <c r="F168" s="88"/>
      <c r="G168" s="88"/>
      <c r="H168" s="88"/>
      <c r="I168" s="88"/>
    </row>
    <row r="169" spans="1:10" ht="15.75">
      <c r="A169" s="27" t="s">
        <v>120</v>
      </c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5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5.75">
      <c r="A171" s="28"/>
      <c r="B171" s="116" t="str">
        <f>"In the RED Class, with a score of  "&amp;LEFT(INDEX('Field Recap'!$A$5:$AD$8,MATCH(4,'Field Recap'!$AD$5:$AD$8,),29),5)</f>
        <v>In the RED Class, with a score of  49.5</v>
      </c>
      <c r="C171" s="116"/>
      <c r="D171" s="116"/>
      <c r="E171" s="116"/>
      <c r="H171" s="64"/>
      <c r="I171" s="86"/>
      <c r="J171" s="28"/>
    </row>
    <row r="172" spans="1:10" ht="15.75">
      <c r="A172" s="28"/>
      <c r="B172" s="48"/>
      <c r="C172" s="48"/>
      <c r="D172" s="48"/>
      <c r="E172" s="48"/>
      <c r="F172" s="49"/>
      <c r="G172" s="49"/>
      <c r="H172" s="28"/>
      <c r="I172" s="28"/>
      <c r="J172" s="28"/>
    </row>
    <row r="173" spans="1:10" ht="15.75">
      <c r="A173" s="28"/>
      <c r="B173" s="116" t="str">
        <f>"Fourth Place is awarded to  "&amp;INDEX('Field Recap'!$A$5:$AD$8,MATCH(4,'Field Recap'!$AD$5:$AD$8,),1)</f>
        <v>Fourth Place is awarded to  Lafayette County</v>
      </c>
      <c r="C173" s="116"/>
      <c r="D173" s="116"/>
      <c r="E173" s="116"/>
      <c r="F173" s="116"/>
      <c r="H173" s="64"/>
      <c r="I173" s="49"/>
      <c r="J173" s="49"/>
    </row>
    <row r="174" spans="1:10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5.75">
      <c r="A175" s="28"/>
      <c r="B175" s="116" t="str">
        <f>"With a score of  "&amp;LEFT(INDEX('Field Recap'!$A$5:$AD$8,MATCH(3,'Field Recap'!$AD$5:$AD$8,),29),5)</f>
        <v>With a score of  51.31</v>
      </c>
      <c r="C175" s="116"/>
      <c r="D175" s="116"/>
      <c r="E175" s="116"/>
      <c r="H175" s="64"/>
      <c r="I175" s="86"/>
      <c r="J175" s="28"/>
    </row>
    <row r="176" spans="1:10" ht="15.75">
      <c r="A176" s="28"/>
      <c r="B176" s="48"/>
      <c r="C176" s="48"/>
      <c r="D176" s="48"/>
      <c r="E176" s="48"/>
      <c r="F176" s="49"/>
      <c r="G176" s="49"/>
      <c r="H176" s="28"/>
      <c r="I176" s="28"/>
      <c r="J176" s="28"/>
    </row>
    <row r="177" spans="1:10" ht="15.75">
      <c r="A177" s="28"/>
      <c r="B177" s="116" t="str">
        <f>"Third Place is awarded to  "&amp;INDEX('Field Recap'!$A$5:$AD$8,MATCH(3,'Field Recap'!$AD$5:$AD$8,),1)</f>
        <v>Third Place is awarded to  Lone Jack</v>
      </c>
      <c r="C177" s="116"/>
      <c r="D177" s="116"/>
      <c r="E177" s="116"/>
      <c r="F177" s="116"/>
      <c r="H177" s="64"/>
      <c r="I177" s="49"/>
      <c r="J177" s="49"/>
    </row>
    <row r="178" spans="1:10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5.75">
      <c r="A179" s="28"/>
      <c r="B179" s="116" t="str">
        <f>"With a score of  "&amp;LEFT(INDEX('Field Recap'!$A$5:$AD$8,MATCH(2,'Field Recap'!$AD$5:$AD$8,),29),5)</f>
        <v>With a score of  57.25</v>
      </c>
      <c r="C179" s="116"/>
      <c r="D179" s="116"/>
      <c r="E179" s="116"/>
      <c r="H179" s="64"/>
      <c r="I179" s="86"/>
      <c r="J179" s="28"/>
    </row>
    <row r="180" spans="1:10" ht="15.75">
      <c r="A180" s="28"/>
      <c r="B180" s="48"/>
      <c r="C180" s="48"/>
      <c r="D180" s="48"/>
      <c r="E180" s="48"/>
      <c r="F180" s="49"/>
      <c r="G180" s="49"/>
      <c r="H180" s="28"/>
      <c r="I180" s="28"/>
      <c r="J180" s="28"/>
    </row>
    <row r="181" spans="1:10" ht="15.75">
      <c r="A181" s="28"/>
      <c r="B181" s="116" t="str">
        <f>"Second Place is awarded to  "&amp;INDEX('Field Recap'!$A$5:$AD$8,MATCH(2,'Field Recap'!$AD$5:$AD$8,),1)</f>
        <v>Second Place is awarded to  Sherwood</v>
      </c>
      <c r="C181" s="116"/>
      <c r="D181" s="116"/>
      <c r="E181" s="116"/>
      <c r="F181" s="116"/>
      <c r="H181" s="64"/>
      <c r="I181" s="49"/>
      <c r="J181" s="49"/>
    </row>
    <row r="182" spans="1:10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5.75">
      <c r="A183" s="28"/>
      <c r="B183" s="116" t="str">
        <f>"And with a score of  "&amp;LEFT(INDEX('Field Recap'!$A$5:$AD$8,MATCH(1,'Field Recap'!$AD$5:$AD$8,),29),5)</f>
        <v>And with a score of  62.26</v>
      </c>
      <c r="C183" s="116"/>
      <c r="D183" s="116"/>
      <c r="E183" s="116"/>
      <c r="H183" s="64"/>
      <c r="I183" s="86"/>
      <c r="J183" s="28"/>
    </row>
    <row r="184" spans="1:10" ht="15.75">
      <c r="A184" s="28"/>
      <c r="B184" s="48"/>
      <c r="C184" s="48"/>
      <c r="D184" s="48"/>
      <c r="E184" s="48"/>
      <c r="F184" s="49"/>
      <c r="G184" s="49"/>
      <c r="H184" s="28"/>
      <c r="I184" s="28"/>
      <c r="J184" s="28"/>
    </row>
    <row r="185" spans="1:10" ht="15.75">
      <c r="A185" s="28"/>
      <c r="B185" s="116" t="str">
        <f>"The 2008 RED Class Field Champion is  "&amp;INDEX('Field Recap'!$A$5:$AD$8,MATCH(1,'Field Recap'!$AD$5:$AD$8,),1)</f>
        <v>The 2008 RED Class Field Champion is  Trenton</v>
      </c>
      <c r="C185" s="116"/>
      <c r="D185" s="116"/>
      <c r="E185" s="116"/>
      <c r="F185" s="116"/>
      <c r="G185" s="116"/>
      <c r="H185" s="64"/>
      <c r="I185" s="49"/>
      <c r="J185" s="49"/>
    </row>
    <row r="186" spans="1:10" ht="15.75">
      <c r="A186" s="28"/>
      <c r="B186" s="48"/>
      <c r="C186" s="48"/>
      <c r="D186" s="48"/>
      <c r="E186" s="48"/>
      <c r="F186" s="48"/>
      <c r="G186" s="48"/>
      <c r="H186" s="48"/>
      <c r="I186" s="49"/>
      <c r="J186" s="49"/>
    </row>
    <row r="187" spans="1:10" ht="15.75">
      <c r="A187" s="27" t="s">
        <v>69</v>
      </c>
      <c r="B187" s="48"/>
      <c r="C187" s="48"/>
      <c r="D187" s="48"/>
      <c r="E187" s="48"/>
      <c r="F187" s="48"/>
      <c r="G187" s="48"/>
      <c r="H187" s="48"/>
      <c r="I187" s="49"/>
      <c r="J187" s="49"/>
    </row>
    <row r="188" spans="1:10" ht="15.75">
      <c r="A188" s="27"/>
      <c r="B188" s="48"/>
      <c r="C188" s="48"/>
      <c r="D188" s="48"/>
      <c r="E188" s="48"/>
      <c r="F188" s="48"/>
      <c r="G188" s="48"/>
      <c r="H188" s="48"/>
      <c r="I188" s="49"/>
      <c r="J188" s="49"/>
    </row>
    <row r="189" spans="1:10" ht="15.75">
      <c r="A189" s="28"/>
      <c r="B189" s="116" t="str">
        <f>"The 2008 Outstanding Pit &amp; Parent Crew is awarded to  "&amp;'Field Recap'!Y29</f>
        <v>The 2008 Outstanding Pit &amp; Parent Crew is awarded to  Macon</v>
      </c>
      <c r="C189" s="116"/>
      <c r="D189" s="116"/>
      <c r="E189" s="116"/>
      <c r="F189" s="116"/>
      <c r="G189" s="116"/>
      <c r="H189" s="87"/>
      <c r="I189" s="28"/>
      <c r="J189" s="28"/>
    </row>
    <row r="190" spans="2:8" ht="15">
      <c r="B190" s="28"/>
      <c r="C190" s="28"/>
      <c r="D190" s="28"/>
      <c r="E190" s="28"/>
      <c r="F190" s="28"/>
      <c r="G190" s="28"/>
      <c r="H190" s="28"/>
    </row>
    <row r="191" spans="2:8" ht="15.75">
      <c r="B191" s="116" t="str">
        <f>"Moving on to the WHITE Class, with a score of  "&amp;LEFT(INDEX('Field Recap'!$A$10:$AD$13,MATCH(4,'Field Recap'!$AD$10:$AD$13,),29),5)</f>
        <v>Moving on to the WHITE Class, with a score of  60.9</v>
      </c>
      <c r="C191" s="116"/>
      <c r="D191" s="116"/>
      <c r="E191" s="116"/>
      <c r="H191" s="64"/>
    </row>
    <row r="192" spans="2:8" ht="15.75">
      <c r="B192" s="48"/>
      <c r="C192" s="48"/>
      <c r="D192" s="48"/>
      <c r="E192" s="48"/>
      <c r="F192" s="49"/>
      <c r="G192" s="49"/>
      <c r="H192" s="28"/>
    </row>
    <row r="193" spans="2:8" ht="15.75">
      <c r="B193" s="116" t="str">
        <f>"Fourth Place is awarded to  "&amp;INDEX('Field Recap'!$A$10:$AD$13,MATCH(4,'Field Recap'!$AD$10:$AD$13,),1)</f>
        <v>Fourth Place is awarded to  Maryville</v>
      </c>
      <c r="C193" s="116"/>
      <c r="D193" s="116"/>
      <c r="E193" s="116"/>
      <c r="F193" s="116"/>
      <c r="H193" s="64"/>
    </row>
    <row r="194" spans="2:8" ht="15">
      <c r="B194" s="28"/>
      <c r="C194" s="28"/>
      <c r="D194" s="28"/>
      <c r="E194" s="28"/>
      <c r="F194" s="28"/>
      <c r="G194" s="28"/>
      <c r="H194" s="28"/>
    </row>
    <row r="195" spans="2:8" ht="15.75">
      <c r="B195" s="116" t="str">
        <f>"With a score of   "&amp;LEFT(INDEX('Field Recap'!$A$10:$AD$13,MATCH(3,'Field Recap'!$AD$10:$AD$13,),29),5)</f>
        <v>With a score of   66.11</v>
      </c>
      <c r="C195" s="116"/>
      <c r="D195" s="116"/>
      <c r="E195" s="116"/>
      <c r="H195" s="64"/>
    </row>
    <row r="196" spans="2:8" ht="15.75">
      <c r="B196" s="48"/>
      <c r="C196" s="48"/>
      <c r="D196" s="48"/>
      <c r="E196" s="48"/>
      <c r="F196" s="49"/>
      <c r="G196" s="49"/>
      <c r="H196" s="28"/>
    </row>
    <row r="197" spans="2:8" ht="15.75">
      <c r="B197" s="116" t="str">
        <f>"Third Place is awarded to  "&amp;INDEX('Field Recap'!$A$10:$AD$13,MATCH(3,'Field Recap'!$AD$10:$AD$13,),1)</f>
        <v>Third Place is awarded to  Pleasant Hill</v>
      </c>
      <c r="C197" s="116"/>
      <c r="D197" s="116"/>
      <c r="E197" s="116"/>
      <c r="F197" s="116"/>
      <c r="H197" s="64"/>
    </row>
    <row r="198" spans="2:8" ht="15">
      <c r="B198" s="28"/>
      <c r="C198" s="28"/>
      <c r="D198" s="28"/>
      <c r="E198" s="28"/>
      <c r="F198" s="28"/>
      <c r="G198" s="28"/>
      <c r="H198" s="28"/>
    </row>
    <row r="199" spans="2:8" ht="15.75">
      <c r="B199" s="116" t="str">
        <f>"With a score of   "&amp;LEFT(INDEX('Field Recap'!$A$10:$AD$13,MATCH(2,'Field Recap'!$AD$10:$AD$13,),29),5)</f>
        <v>With a score of   68.25</v>
      </c>
      <c r="C199" s="116"/>
      <c r="D199" s="116"/>
      <c r="E199" s="116"/>
      <c r="H199" s="64"/>
    </row>
    <row r="200" spans="2:8" ht="15.75">
      <c r="B200" s="48"/>
      <c r="C200" s="48"/>
      <c r="D200" s="48"/>
      <c r="E200" s="48"/>
      <c r="F200" s="49"/>
      <c r="G200" s="49"/>
      <c r="H200" s="28"/>
    </row>
    <row r="201" spans="2:8" ht="15.75">
      <c r="B201" s="116" t="str">
        <f>"Second Place is awarded to  "&amp;INDEX('Field Recap'!$A$10:$AD$13,MATCH(2,'Field Recap'!$AD$10:$AD$13,),1)</f>
        <v>Second Place is awarded to  Oak Grove</v>
      </c>
      <c r="C201" s="116"/>
      <c r="D201" s="116"/>
      <c r="E201" s="116"/>
      <c r="F201" s="116"/>
      <c r="H201" s="64"/>
    </row>
    <row r="202" spans="2:8" ht="15">
      <c r="B202" s="28"/>
      <c r="C202" s="28"/>
      <c r="D202" s="28"/>
      <c r="E202" s="28"/>
      <c r="F202" s="28"/>
      <c r="G202" s="28"/>
      <c r="H202" s="28"/>
    </row>
    <row r="203" spans="2:8" ht="15.75">
      <c r="B203" s="116" t="str">
        <f>"And with a score of   "&amp;LEFT(INDEX('Field Recap'!$A$10:$AD$13,MATCH(1,'Field Recap'!$AD$10:$AD$13,),29),5)</f>
        <v>And with a score of   72.08</v>
      </c>
      <c r="C203" s="116"/>
      <c r="D203" s="116"/>
      <c r="E203" s="116"/>
      <c r="H203" s="64"/>
    </row>
    <row r="204" spans="2:8" ht="15.75">
      <c r="B204" s="48"/>
      <c r="C204" s="48"/>
      <c r="D204" s="48"/>
      <c r="E204" s="48"/>
      <c r="F204" s="49"/>
      <c r="G204" s="49"/>
      <c r="H204" s="28"/>
    </row>
    <row r="205" spans="2:8" ht="15.75">
      <c r="B205" s="116" t="str">
        <f>"The 2008 WHITE Class Field Champion is  "&amp;INDEX('Field Recap'!$A$10:$AD$13,MATCH(1,'Field Recap'!$AD$10:$AD$13,),1)</f>
        <v>The 2008 WHITE Class Field Champion is  Macon</v>
      </c>
      <c r="C205" s="116"/>
      <c r="D205" s="116"/>
      <c r="E205" s="116"/>
      <c r="F205" s="116"/>
      <c r="G205" s="116"/>
      <c r="H205" s="64"/>
    </row>
    <row r="206" spans="2:8" ht="15">
      <c r="B206" s="28"/>
      <c r="C206" s="28"/>
      <c r="D206" s="28"/>
      <c r="E206" s="28"/>
      <c r="F206" s="28"/>
      <c r="G206" s="28"/>
      <c r="H206" s="28"/>
    </row>
    <row r="207" spans="1:10" ht="15.75">
      <c r="A207" s="27" t="s">
        <v>76</v>
      </c>
      <c r="B207" s="48"/>
      <c r="C207" s="48"/>
      <c r="D207" s="48"/>
      <c r="E207" s="48"/>
      <c r="F207" s="48"/>
      <c r="G207" s="48"/>
      <c r="H207" s="48"/>
      <c r="I207" s="49"/>
      <c r="J207" s="49"/>
    </row>
    <row r="208" spans="2:10" ht="15.75">
      <c r="B208" s="27" t="s">
        <v>77</v>
      </c>
      <c r="C208" s="48"/>
      <c r="D208" s="48"/>
      <c r="E208" s="48"/>
      <c r="F208" s="48"/>
      <c r="G208" s="48"/>
      <c r="H208" s="48"/>
      <c r="I208" s="49"/>
      <c r="J208" s="49"/>
    </row>
    <row r="209" spans="2:10" ht="15.75">
      <c r="B209" s="27" t="s">
        <v>78</v>
      </c>
      <c r="C209" s="48"/>
      <c r="D209" s="48"/>
      <c r="E209" s="48"/>
      <c r="F209" s="48"/>
      <c r="G209" s="48"/>
      <c r="H209" s="48"/>
      <c r="I209" s="49"/>
      <c r="J209" s="49"/>
    </row>
    <row r="210" spans="1:10" ht="15.75">
      <c r="A210" s="27"/>
      <c r="B210" s="27" t="s">
        <v>123</v>
      </c>
      <c r="C210" s="48"/>
      <c r="D210" s="48"/>
      <c r="E210" s="48"/>
      <c r="F210" s="48"/>
      <c r="G210" s="48"/>
      <c r="H210" s="48"/>
      <c r="I210" s="49"/>
      <c r="J210" s="49"/>
    </row>
    <row r="211" spans="1:10" ht="15.75">
      <c r="A211" s="27"/>
      <c r="B211" s="27"/>
      <c r="C211" s="48"/>
      <c r="D211" s="48"/>
      <c r="E211" s="48"/>
      <c r="F211" s="48"/>
      <c r="G211" s="48"/>
      <c r="H211" s="48"/>
      <c r="I211" s="49"/>
      <c r="J211" s="49"/>
    </row>
    <row r="212" spans="1:10" ht="15.75">
      <c r="A212" s="28"/>
      <c r="B212" s="116" t="str">
        <f>"The 2008 Kris Cooper Memorial Drum Major award goes to  "&amp;'Field Recap'!S29</f>
        <v>The 2008 Kris Cooper Memorial Drum Major award goes to  WARRENSBURG</v>
      </c>
      <c r="C212" s="116"/>
      <c r="D212" s="116"/>
      <c r="E212" s="116"/>
      <c r="F212" s="116"/>
      <c r="G212" s="116"/>
      <c r="H212" s="87"/>
      <c r="I212" s="28"/>
      <c r="J212" s="28"/>
    </row>
    <row r="214" spans="2:8" ht="15.75" customHeight="1">
      <c r="B214" s="116" t="str">
        <f>"Turning to the SILVER Class, with a score of  "&amp;LEFT(INDEX('Field Recap'!$A$15:$AD$17,MATCH(3,'Field Recap'!$AD$15:$AD$17,),29),5)</f>
        <v>Turning to the SILVER Class, with a score of  58.6</v>
      </c>
      <c r="C214" s="116"/>
      <c r="D214" s="116"/>
      <c r="E214" s="116"/>
      <c r="F214" s="116"/>
      <c r="G214" s="116"/>
      <c r="H214" s="64"/>
    </row>
    <row r="215" spans="2:8" ht="15.75">
      <c r="B215" s="48"/>
      <c r="C215" s="48"/>
      <c r="D215" s="48"/>
      <c r="E215" s="48"/>
      <c r="F215" s="49"/>
      <c r="G215" s="49"/>
      <c r="H215" s="28"/>
    </row>
    <row r="216" spans="2:8" ht="15.75" customHeight="1">
      <c r="B216" s="116" t="str">
        <f>"Third Place is awarded to  "&amp;INDEX('Field Recap'!$A$15:$AD$17,MATCH(3,'Field Recap'!$AD$15:$AD$17,),1)</f>
        <v>Third Place is awarded to  Center</v>
      </c>
      <c r="C216" s="116"/>
      <c r="D216" s="116"/>
      <c r="E216" s="116"/>
      <c r="F216" s="116"/>
      <c r="H216" s="64"/>
    </row>
    <row r="217" spans="2:8" ht="15">
      <c r="B217" s="28"/>
      <c r="C217" s="28"/>
      <c r="D217" s="28"/>
      <c r="E217" s="28"/>
      <c r="F217" s="28"/>
      <c r="G217" s="28"/>
      <c r="H217" s="28"/>
    </row>
    <row r="218" spans="2:8" ht="15.75">
      <c r="B218" s="116" t="str">
        <f>"With a score of  "&amp;LEFT(INDEX('Field Recap'!$A$15:$AD$17,MATCH(2,'Field Recap'!$AD$15:$AD$17,),29),5)</f>
        <v>With a score of  63.4</v>
      </c>
      <c r="C218" s="116"/>
      <c r="D218" s="116"/>
      <c r="E218" s="116"/>
      <c r="H218" s="64"/>
    </row>
    <row r="219" spans="2:8" ht="15.75">
      <c r="B219" s="48"/>
      <c r="C219" s="48"/>
      <c r="D219" s="48"/>
      <c r="E219" s="48"/>
      <c r="F219" s="49"/>
      <c r="G219" s="49"/>
      <c r="H219" s="28"/>
    </row>
    <row r="220" spans="2:8" ht="15.75">
      <c r="B220" s="116" t="str">
        <f>"Second Place is awarded to  "&amp;INDEX('Field Recap'!$A$15:$AD$17,MATCH(2,'Field Recap'!$AD$15:$AD$17,),1)</f>
        <v>Second Place is awarded to  Fulton</v>
      </c>
      <c r="C220" s="116"/>
      <c r="D220" s="116"/>
      <c r="E220" s="116"/>
      <c r="F220" s="116"/>
      <c r="H220" s="64"/>
    </row>
    <row r="221" spans="2:8" ht="15">
      <c r="B221" s="28"/>
      <c r="C221" s="28"/>
      <c r="D221" s="28"/>
      <c r="E221" s="28"/>
      <c r="F221" s="28"/>
      <c r="G221" s="28"/>
      <c r="H221" s="28"/>
    </row>
    <row r="222" spans="2:8" ht="15.75">
      <c r="B222" s="116" t="str">
        <f>"And with a score of  "&amp;LEFT(INDEX('Field Recap'!$A$15:$AD$17,MATCH(1,'Field Recap'!$AD$15:$AD$17,),29),5)</f>
        <v>And with a score of  66.88</v>
      </c>
      <c r="C222" s="116"/>
      <c r="D222" s="116"/>
      <c r="E222" s="116"/>
      <c r="H222" s="64"/>
    </row>
    <row r="223" spans="2:8" ht="15.75">
      <c r="B223" s="48"/>
      <c r="C223" s="48"/>
      <c r="D223" s="48"/>
      <c r="E223" s="48"/>
      <c r="F223" s="49"/>
      <c r="G223" s="49"/>
      <c r="H223" s="28"/>
    </row>
    <row r="224" spans="2:8" ht="15.75">
      <c r="B224" s="116" t="str">
        <f>"The 2008 SILVER Class Field Champion is  "&amp;INDEX('Field Recap'!$A$15:$AD$17,MATCH(1,'Field Recap'!$AD$15:$AD$17,),1)</f>
        <v>The 2008 SILVER Class Field Champion is  Harrisonville</v>
      </c>
      <c r="C224" s="116"/>
      <c r="D224" s="116"/>
      <c r="E224" s="116"/>
      <c r="F224" s="116"/>
      <c r="G224" s="116"/>
      <c r="H224" s="64"/>
    </row>
    <row r="226" spans="3:10" ht="15">
      <c r="C226" s="88"/>
      <c r="D226" s="88"/>
      <c r="E226" s="88"/>
      <c r="F226" s="88"/>
      <c r="G226" s="88"/>
      <c r="H226" s="88"/>
      <c r="I226" s="88"/>
      <c r="J226" s="88"/>
    </row>
    <row r="227" spans="1:10" ht="15.75">
      <c r="A227" s="27" t="s">
        <v>70</v>
      </c>
      <c r="B227" s="48"/>
      <c r="C227" s="48"/>
      <c r="D227" s="48"/>
      <c r="E227" s="48"/>
      <c r="F227" s="48"/>
      <c r="G227" s="48"/>
      <c r="H227" s="48"/>
      <c r="I227" s="49"/>
      <c r="J227" s="49"/>
    </row>
    <row r="228" spans="1:10" ht="15.75">
      <c r="A228" s="27"/>
      <c r="C228" s="48"/>
      <c r="D228" s="48"/>
      <c r="E228" s="48"/>
      <c r="F228" s="48"/>
      <c r="G228" s="48"/>
      <c r="H228" s="48"/>
      <c r="I228" s="49"/>
      <c r="J228" s="49"/>
    </row>
    <row r="229" spans="1:10" ht="15.75">
      <c r="A229" s="28"/>
      <c r="B229" s="116" t="str">
        <f>"The 2008 Outstanding Percussion section is awarded to  "&amp;'Field Recap'!B29</f>
        <v>The 2008 Outstanding Percussion section is awarded to  Rock Bridge</v>
      </c>
      <c r="C229" s="116"/>
      <c r="D229" s="116"/>
      <c r="E229" s="116"/>
      <c r="F229" s="116"/>
      <c r="G229" s="116"/>
      <c r="H229" s="87"/>
      <c r="I229" s="28"/>
      <c r="J229" s="28"/>
    </row>
    <row r="230" spans="1:10" ht="15.75">
      <c r="A230" s="28"/>
      <c r="B230" s="48"/>
      <c r="C230" s="48"/>
      <c r="D230" s="48"/>
      <c r="E230" s="48"/>
      <c r="F230" s="48"/>
      <c r="G230" s="48"/>
      <c r="H230" s="45"/>
      <c r="I230" s="28"/>
      <c r="J230" s="28"/>
    </row>
    <row r="231" spans="2:8" ht="15.75">
      <c r="B231" s="116" t="str">
        <f>"Now to the GOLD Class, with a score of  "&amp;LEFT(INDEX('Field Recap'!$A$19:$AD$21,MATCH(3,'Field Recap'!$AD$19:$AD$21,),29),5)</f>
        <v>Now to the GOLD Class, with a score of  59.18</v>
      </c>
      <c r="C231" s="116"/>
      <c r="D231" s="116"/>
      <c r="E231" s="116"/>
      <c r="F231" s="116"/>
      <c r="G231" s="116"/>
      <c r="H231" s="64"/>
    </row>
    <row r="232" spans="2:8" ht="15.75">
      <c r="B232" s="48"/>
      <c r="C232" s="48"/>
      <c r="D232" s="48"/>
      <c r="E232" s="48"/>
      <c r="F232" s="49"/>
      <c r="G232" s="49"/>
      <c r="H232" s="28"/>
    </row>
    <row r="233" spans="2:8" ht="15.75">
      <c r="B233" s="116" t="str">
        <f>"Third Place is awarded to  "&amp;INDEX('Field Recap'!$A$19:$AD$21,MATCH(3,'Field Recap'!$AD$19:$AD$21,),1)</f>
        <v>Third Place is awarded to  Hickman Mills</v>
      </c>
      <c r="C233" s="116"/>
      <c r="D233" s="116"/>
      <c r="E233" s="116"/>
      <c r="F233" s="116"/>
      <c r="H233" s="64"/>
    </row>
    <row r="234" spans="2:8" ht="15">
      <c r="B234" s="28"/>
      <c r="C234" s="28"/>
      <c r="D234" s="28"/>
      <c r="E234" s="28"/>
      <c r="F234" s="28"/>
      <c r="G234" s="28"/>
      <c r="H234" s="28"/>
    </row>
    <row r="235" spans="2:8" ht="15.75">
      <c r="B235" s="116" t="str">
        <f>"With a score of   "&amp;LEFT(INDEX('Field Recap'!$A$19:$AD$21,MATCH(2,'Field Recap'!$AD$19:$AD$21,),29),5)</f>
        <v>With a score of   65.23</v>
      </c>
      <c r="C235" s="116"/>
      <c r="D235" s="116"/>
      <c r="E235" s="116"/>
      <c r="H235" s="64"/>
    </row>
    <row r="236" spans="2:8" ht="15.75">
      <c r="B236" s="48"/>
      <c r="C236" s="48"/>
      <c r="D236" s="48"/>
      <c r="E236" s="48"/>
      <c r="F236" s="49"/>
      <c r="G236" s="49"/>
      <c r="H236" s="28"/>
    </row>
    <row r="237" spans="2:8" ht="15.75">
      <c r="B237" s="116" t="str">
        <f>"Second Place is awarded to  "&amp;INDEX('Field Recap'!$A$19:$AD$21,MATCH(2,'Field Recap'!$AD$19:$AD$21,),1)</f>
        <v>Second Place is awarded to  Fort Zumwalt East</v>
      </c>
      <c r="C237" s="116"/>
      <c r="D237" s="116"/>
      <c r="E237" s="116"/>
      <c r="F237" s="116"/>
      <c r="H237" s="64"/>
    </row>
    <row r="238" spans="2:8" ht="15">
      <c r="B238" s="28"/>
      <c r="C238" s="28"/>
      <c r="D238" s="28"/>
      <c r="E238" s="28"/>
      <c r="F238" s="28"/>
      <c r="G238" s="28"/>
      <c r="H238" s="28"/>
    </row>
    <row r="239" spans="2:8" ht="15.75">
      <c r="B239" s="116" t="str">
        <f>"And with a score of   "&amp;LEFT(INDEX('Field Recap'!$A$19:$AD$21,MATCH(1,'Field Recap'!$AD$19:$AD$21,),29),5)</f>
        <v>And with a score of   68.63</v>
      </c>
      <c r="C239" s="116"/>
      <c r="D239" s="116"/>
      <c r="E239" s="116"/>
      <c r="H239" s="64"/>
    </row>
    <row r="240" spans="2:8" ht="15.75">
      <c r="B240" s="48"/>
      <c r="C240" s="48"/>
      <c r="D240" s="48"/>
      <c r="E240" s="48"/>
      <c r="F240" s="49"/>
      <c r="G240" s="49"/>
      <c r="H240" s="28"/>
    </row>
    <row r="241" spans="2:8" ht="15.75">
      <c r="B241" s="116" t="str">
        <f>"The 2008 GOLD Class Field Champion is  "&amp;INDEX('Field Recap'!$A$19:$AD$21,MATCH(1,'Field Recap'!$AD$19:$AD$21,),1)</f>
        <v>The 2008 GOLD Class Field Champion is  Warrensburg</v>
      </c>
      <c r="C241" s="116"/>
      <c r="D241" s="116"/>
      <c r="E241" s="116"/>
      <c r="F241" s="116"/>
      <c r="G241" s="116"/>
      <c r="H241" s="64"/>
    </row>
    <row r="242" spans="1:2" ht="15">
      <c r="A242" s="151" t="s">
        <v>66</v>
      </c>
      <c r="B242" s="151"/>
    </row>
    <row r="243" spans="1:10" ht="15.75">
      <c r="A243" s="27" t="s">
        <v>71</v>
      </c>
      <c r="B243" s="48"/>
      <c r="C243" s="48"/>
      <c r="D243" s="48"/>
      <c r="E243" s="48"/>
      <c r="F243" s="48"/>
      <c r="G243" s="48"/>
      <c r="H243" s="48"/>
      <c r="I243" s="49"/>
      <c r="J243" s="49"/>
    </row>
    <row r="244" spans="1:10" ht="15.75">
      <c r="A244" s="27"/>
      <c r="C244" s="48"/>
      <c r="D244" s="48"/>
      <c r="E244" s="48"/>
      <c r="F244" s="48"/>
      <c r="G244" s="48"/>
      <c r="H244" s="48"/>
      <c r="I244" s="49"/>
      <c r="J244" s="49"/>
    </row>
    <row r="245" spans="1:10" ht="15.75">
      <c r="A245" s="28"/>
      <c r="B245" s="116" t="str">
        <f>"The 2008 Outstanding Auxiliary award goes to  "&amp;'Field Recap'!M29</f>
        <v>The 2008 Outstanding Auxiliary award goes to  Warrensburg</v>
      </c>
      <c r="C245" s="116"/>
      <c r="D245" s="116"/>
      <c r="E245" s="116"/>
      <c r="F245" s="116"/>
      <c r="G245" s="116"/>
      <c r="H245" s="87"/>
      <c r="I245" s="28"/>
      <c r="J245" s="28"/>
    </row>
    <row r="246" spans="1:10" ht="15.75">
      <c r="A246" s="28"/>
      <c r="B246" s="48"/>
      <c r="C246" s="48"/>
      <c r="D246" s="48"/>
      <c r="E246" s="48"/>
      <c r="F246" s="48"/>
      <c r="G246" s="48"/>
      <c r="H246" s="45"/>
      <c r="I246" s="28"/>
      <c r="J246" s="28"/>
    </row>
    <row r="247" spans="2:8" ht="15.75">
      <c r="B247" s="116" t="str">
        <f>"In our final class, the BLACK Class, with a score of  "&amp;LEFT(INDEX('Field Recap'!$A$23:$AD$26,MATCH(4,'Field Recap'!$AD$23:$AD$26,),29),5)</f>
        <v>In our final class, the BLACK Class, with a score of  57.15</v>
      </c>
      <c r="C247" s="116"/>
      <c r="D247" s="116"/>
      <c r="E247" s="116"/>
      <c r="F247" s="116"/>
      <c r="G247" s="116"/>
      <c r="H247" s="64"/>
    </row>
    <row r="248" spans="2:8" ht="15.75">
      <c r="B248" s="48"/>
      <c r="C248" s="48"/>
      <c r="D248" s="48"/>
      <c r="E248" s="48"/>
      <c r="F248" s="49"/>
      <c r="G248" s="49"/>
      <c r="H248" s="28"/>
    </row>
    <row r="249" spans="2:8" ht="15.75">
      <c r="B249" s="116" t="str">
        <f>"Fourth Place is awarded to  "&amp;INDEX('Field Recap'!$A$23:$AD$26,MATCH(4,'Field Recap'!$AD$23:$AD$26,),1)</f>
        <v>Fourth Place is awarded to  William Chrisman</v>
      </c>
      <c r="C249" s="116"/>
      <c r="D249" s="116"/>
      <c r="E249" s="116"/>
      <c r="F249" s="116"/>
      <c r="H249" s="64"/>
    </row>
    <row r="250" spans="2:8" ht="15">
      <c r="B250" s="28"/>
      <c r="C250" s="28"/>
      <c r="D250" s="28"/>
      <c r="E250" s="28"/>
      <c r="F250" s="28"/>
      <c r="G250" s="28"/>
      <c r="H250" s="28"/>
    </row>
    <row r="251" spans="2:8" ht="15.75" customHeight="1">
      <c r="B251" s="116" t="str">
        <f>"With a score of  "&amp;LEFT(INDEX('Field Recap'!$A$23:$AD$26,MATCH(3,'Field Recap'!$AD$23:$AD$26,),29),5)</f>
        <v>With a score of  67.23</v>
      </c>
      <c r="C251" s="116"/>
      <c r="D251" s="116"/>
      <c r="E251" s="116"/>
      <c r="F251" s="116"/>
      <c r="G251" s="116"/>
      <c r="H251" s="64"/>
    </row>
    <row r="252" spans="2:8" ht="15.75">
      <c r="B252" s="48"/>
      <c r="C252" s="48"/>
      <c r="D252" s="48"/>
      <c r="E252" s="48"/>
      <c r="F252" s="49"/>
      <c r="G252" s="49"/>
      <c r="H252" s="28"/>
    </row>
    <row r="253" spans="2:8" ht="15.75">
      <c r="B253" s="116" t="str">
        <f>"Third Place is awarded to  "&amp;INDEX('Field Recap'!$A$23:$AD$26,MATCH(3,'Field Recap'!$AD$23:$AD$26,),1)</f>
        <v>Third Place is awarded to  Raymore-Peculiar</v>
      </c>
      <c r="C253" s="116"/>
      <c r="D253" s="116"/>
      <c r="E253" s="116"/>
      <c r="F253" s="116"/>
      <c r="H253" s="64"/>
    </row>
    <row r="254" spans="2:8" ht="15">
      <c r="B254" s="28"/>
      <c r="C254" s="28"/>
      <c r="D254" s="28"/>
      <c r="E254" s="28"/>
      <c r="F254" s="28"/>
      <c r="G254" s="28"/>
      <c r="H254" s="28"/>
    </row>
    <row r="255" spans="1:10" ht="15.75">
      <c r="A255" s="27" t="s">
        <v>75</v>
      </c>
      <c r="B255" s="48"/>
      <c r="C255" s="48"/>
      <c r="D255" s="48"/>
      <c r="E255" s="48"/>
      <c r="F255" s="48"/>
      <c r="G255" s="48"/>
      <c r="H255" s="48"/>
      <c r="I255" s="49"/>
      <c r="J255" s="49"/>
    </row>
    <row r="256" spans="2:10" ht="15.75">
      <c r="B256" s="27" t="s">
        <v>79</v>
      </c>
      <c r="C256" s="48"/>
      <c r="D256" s="48"/>
      <c r="E256" s="48"/>
      <c r="F256" s="48"/>
      <c r="G256" s="48"/>
      <c r="H256" s="48"/>
      <c r="I256" s="49"/>
      <c r="J256" s="49"/>
    </row>
    <row r="257" spans="2:10" ht="15.75">
      <c r="B257" s="27" t="s">
        <v>80</v>
      </c>
      <c r="C257" s="48"/>
      <c r="D257" s="48"/>
      <c r="E257" s="48"/>
      <c r="F257" s="48"/>
      <c r="G257" s="48"/>
      <c r="H257" s="48"/>
      <c r="I257" s="49"/>
      <c r="J257" s="49"/>
    </row>
    <row r="258" spans="1:10" ht="15.75">
      <c r="A258" s="27"/>
      <c r="C258" s="48"/>
      <c r="D258" s="48"/>
      <c r="E258" s="48"/>
      <c r="F258" s="48"/>
      <c r="G258" s="48"/>
      <c r="H258" s="48"/>
      <c r="I258" s="49"/>
      <c r="J258" s="49"/>
    </row>
    <row r="259" spans="1:10" ht="15.75">
      <c r="A259" s="28"/>
      <c r="B259" s="116" t="str">
        <f>"The 2008 Paul Stegner Memorial Wind Section award goes to  "&amp;'Field Recap'!H29</f>
        <v>The 2008 Paul Stegner Memorial Wind Section award goes to  Rock Bridge</v>
      </c>
      <c r="C259" s="116"/>
      <c r="D259" s="116"/>
      <c r="E259" s="116"/>
      <c r="F259" s="116"/>
      <c r="G259" s="116"/>
      <c r="H259" s="87"/>
      <c r="I259" s="28"/>
      <c r="J259" s="28"/>
    </row>
    <row r="261" spans="2:8" ht="15.75" customHeight="1">
      <c r="B261" s="116" t="str">
        <f>"Back  to the BLACK Class, with a score of  "&amp;LEFT(INDEX('Field Recap'!$A$23:$AD$26,MATCH(2,'Field Recap'!$AD$23:$AD$26,),29),5)</f>
        <v>Back  to the BLACK Class, with a score of  73.86</v>
      </c>
      <c r="C261" s="116"/>
      <c r="D261" s="116"/>
      <c r="E261" s="116"/>
      <c r="F261" s="116"/>
      <c r="G261" s="116"/>
      <c r="H261" s="64"/>
    </row>
    <row r="262" spans="2:8" ht="15.75">
      <c r="B262" s="48"/>
      <c r="C262" s="48"/>
      <c r="D262" s="48"/>
      <c r="E262" s="48"/>
      <c r="F262" s="49"/>
      <c r="G262" s="49"/>
      <c r="H262" s="28"/>
    </row>
    <row r="263" spans="2:8" ht="15.75">
      <c r="B263" s="116" t="str">
        <f>"Second Place is awarded to  "&amp;INDEX('Field Recap'!$A$23:$AD$26,MATCH(2,'Field Recap'!$AD$23:$AD$26,),1)</f>
        <v>Second Place is awarded to  Park Hill</v>
      </c>
      <c r="C263" s="116"/>
      <c r="D263" s="116"/>
      <c r="E263" s="116"/>
      <c r="F263" s="116"/>
      <c r="H263" s="64"/>
    </row>
    <row r="264" spans="2:8" ht="15">
      <c r="B264" s="28"/>
      <c r="C264" s="28"/>
      <c r="D264" s="28"/>
      <c r="E264" s="28"/>
      <c r="F264" s="28"/>
      <c r="G264" s="28"/>
      <c r="H264" s="28"/>
    </row>
    <row r="265" spans="2:8" ht="15.75">
      <c r="B265" s="116" t="str">
        <f>"And with a score of  "&amp;LEFT(INDEX('Field Recap'!$A$23:$AD$26,MATCH(1,'Field Recap'!$AD$23:$AD$26,),29),5)</f>
        <v>And with a score of  82.01</v>
      </c>
      <c r="C265" s="116"/>
      <c r="D265" s="116"/>
      <c r="E265" s="116"/>
      <c r="H265" s="64"/>
    </row>
    <row r="266" spans="2:8" ht="15.75">
      <c r="B266" s="48"/>
      <c r="C266" s="48"/>
      <c r="D266" s="48"/>
      <c r="E266" s="48"/>
      <c r="F266" s="49"/>
      <c r="G266" s="49"/>
      <c r="H266" s="28"/>
    </row>
    <row r="267" spans="2:8" ht="15.75">
      <c r="B267" s="116" t="str">
        <f>"The 2008 BLACK Class Field Champion is  "&amp;INDEX('Field Recap'!$A$23:$AD$26,MATCH(1,'Field Recap'!$AD$23:$AD$26,),1)</f>
        <v>The 2008 BLACK Class Field Champion is  Rock Bridge</v>
      </c>
      <c r="C267" s="116"/>
      <c r="D267" s="116"/>
      <c r="E267" s="116"/>
      <c r="F267" s="116"/>
      <c r="G267" s="116"/>
      <c r="H267" s="64"/>
    </row>
    <row r="268" spans="2:8" ht="15.75">
      <c r="B268" s="48"/>
      <c r="C268" s="48"/>
      <c r="D268" s="48"/>
      <c r="E268" s="48"/>
      <c r="F268" s="48"/>
      <c r="G268" s="48"/>
      <c r="H268" s="48"/>
    </row>
    <row r="269" spans="2:8" ht="15.75">
      <c r="B269" s="48"/>
      <c r="C269" s="48"/>
      <c r="D269" s="48"/>
      <c r="E269" s="48"/>
      <c r="F269" s="48"/>
      <c r="G269" s="48"/>
      <c r="H269" s="48"/>
    </row>
    <row r="271" spans="1:9" ht="18.75">
      <c r="A271" s="152" t="s">
        <v>67</v>
      </c>
      <c r="B271" s="152"/>
      <c r="C271" s="99"/>
      <c r="D271" s="99"/>
      <c r="E271" s="99"/>
      <c r="F271" s="99"/>
      <c r="G271" s="99"/>
      <c r="H271" s="99"/>
      <c r="I271" s="99"/>
    </row>
  </sheetData>
  <sheetProtection/>
  <mergeCells count="122">
    <mergeCell ref="B197:F197"/>
    <mergeCell ref="A129:B129"/>
    <mergeCell ref="B101:G101"/>
    <mergeCell ref="B115:F115"/>
    <mergeCell ref="B103:F103"/>
    <mergeCell ref="B105:E105"/>
    <mergeCell ref="B111:F111"/>
    <mergeCell ref="B113:E113"/>
    <mergeCell ref="A271:B271"/>
    <mergeCell ref="A86:B86"/>
    <mergeCell ref="B107:F107"/>
    <mergeCell ref="B109:E109"/>
    <mergeCell ref="B162:F162"/>
    <mergeCell ref="B181:F181"/>
    <mergeCell ref="B140:G140"/>
    <mergeCell ref="B3:J3"/>
    <mergeCell ref="B156:G156"/>
    <mergeCell ref="B158:F158"/>
    <mergeCell ref="B20:F20"/>
    <mergeCell ref="B22:E22"/>
    <mergeCell ref="B142:F142"/>
    <mergeCell ref="B144:E144"/>
    <mergeCell ref="B146:G146"/>
    <mergeCell ref="B24:G24"/>
    <mergeCell ref="B121:E121"/>
    <mergeCell ref="B123:F123"/>
    <mergeCell ref="B125:E125"/>
    <mergeCell ref="B127:G127"/>
    <mergeCell ref="B93:E93"/>
    <mergeCell ref="B95:F95"/>
    <mergeCell ref="B97:E97"/>
    <mergeCell ref="B99:G99"/>
    <mergeCell ref="B117:E117"/>
    <mergeCell ref="B119:F119"/>
    <mergeCell ref="B41:G41"/>
    <mergeCell ref="B35:E35"/>
    <mergeCell ref="B39:E39"/>
    <mergeCell ref="B44:G44"/>
    <mergeCell ref="B37:G37"/>
    <mergeCell ref="A43:B43"/>
    <mergeCell ref="B89:E89"/>
    <mergeCell ref="B91:F91"/>
    <mergeCell ref="B46:F46"/>
    <mergeCell ref="B48:E48"/>
    <mergeCell ref="B50:F50"/>
    <mergeCell ref="B63:F63"/>
    <mergeCell ref="B65:E65"/>
    <mergeCell ref="B67:G67"/>
    <mergeCell ref="B52:E52"/>
    <mergeCell ref="B54:G54"/>
    <mergeCell ref="B57:G57"/>
    <mergeCell ref="B59:F59"/>
    <mergeCell ref="B82:E82"/>
    <mergeCell ref="B61:E61"/>
    <mergeCell ref="B84:G84"/>
    <mergeCell ref="B70:G70"/>
    <mergeCell ref="B72:F72"/>
    <mergeCell ref="B78:E78"/>
    <mergeCell ref="B80:F80"/>
    <mergeCell ref="B74:E74"/>
    <mergeCell ref="B76:F76"/>
    <mergeCell ref="B183:E183"/>
    <mergeCell ref="B185:G185"/>
    <mergeCell ref="B191:E191"/>
    <mergeCell ref="B193:F193"/>
    <mergeCell ref="B199:E199"/>
    <mergeCell ref="B136:G136"/>
    <mergeCell ref="B138:F138"/>
    <mergeCell ref="B132:G132"/>
    <mergeCell ref="B134:F134"/>
    <mergeCell ref="B201:F201"/>
    <mergeCell ref="B203:E203"/>
    <mergeCell ref="B205:G205"/>
    <mergeCell ref="B214:G214"/>
    <mergeCell ref="B216:F216"/>
    <mergeCell ref="B218:E218"/>
    <mergeCell ref="B220:F220"/>
    <mergeCell ref="B222:E222"/>
    <mergeCell ref="B224:G224"/>
    <mergeCell ref="B247:G247"/>
    <mergeCell ref="B231:G231"/>
    <mergeCell ref="B233:F233"/>
    <mergeCell ref="B235:E235"/>
    <mergeCell ref="A242:B242"/>
    <mergeCell ref="B261:G261"/>
    <mergeCell ref="B249:F249"/>
    <mergeCell ref="B263:F263"/>
    <mergeCell ref="B265:E265"/>
    <mergeCell ref="B251:G251"/>
    <mergeCell ref="B253:F253"/>
    <mergeCell ref="B267:G267"/>
    <mergeCell ref="B189:G189"/>
    <mergeCell ref="B212:G212"/>
    <mergeCell ref="B229:G229"/>
    <mergeCell ref="B245:G245"/>
    <mergeCell ref="B259:G259"/>
    <mergeCell ref="B237:F237"/>
    <mergeCell ref="B239:E239"/>
    <mergeCell ref="B241:G241"/>
    <mergeCell ref="B195:E195"/>
    <mergeCell ref="B10:G10"/>
    <mergeCell ref="B12:F12"/>
    <mergeCell ref="B31:E31"/>
    <mergeCell ref="B33:G33"/>
    <mergeCell ref="B27:E27"/>
    <mergeCell ref="B29:G29"/>
    <mergeCell ref="B14:G14"/>
    <mergeCell ref="B16:F16"/>
    <mergeCell ref="B18:G18"/>
    <mergeCell ref="B148:G148"/>
    <mergeCell ref="B150:F150"/>
    <mergeCell ref="B152:E152"/>
    <mergeCell ref="B154:G154"/>
    <mergeCell ref="B160:G160"/>
    <mergeCell ref="B175:E175"/>
    <mergeCell ref="B177:F177"/>
    <mergeCell ref="B179:E179"/>
    <mergeCell ref="B164:E164"/>
    <mergeCell ref="B166:G166"/>
    <mergeCell ref="B171:E171"/>
    <mergeCell ref="B173:F173"/>
    <mergeCell ref="A168:B168"/>
  </mergeCells>
  <printOptions/>
  <pageMargins left="0.3" right="0.3" top="0.3" bottom="0.3" header="0.5" footer="0.5"/>
  <pageSetup horizontalDpi="600" verticalDpi="600" orientation="portrait" r:id="rId1"/>
  <rowBreaks count="6" manualBreakCount="6">
    <brk id="43" max="1" man="1"/>
    <brk id="86" max="255" man="1"/>
    <brk id="129" max="255" man="1"/>
    <brk id="168" max="255" man="1"/>
    <brk id="206" max="1" man="1"/>
    <brk id="24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Ben</cp:lastModifiedBy>
  <cp:lastPrinted>2008-10-11T21:56:11Z</cp:lastPrinted>
  <dcterms:created xsi:type="dcterms:W3CDTF">2002-09-15T15:02:50Z</dcterms:created>
  <dcterms:modified xsi:type="dcterms:W3CDTF">2008-10-12T07:16:32Z</dcterms:modified>
  <cp:category/>
  <cp:version/>
  <cp:contentType/>
  <cp:contentStatus/>
</cp:coreProperties>
</file>